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Leitungsteam\RV Aktuell\2025\"/>
    </mc:Choice>
  </mc:AlternateContent>
  <bookViews>
    <workbookView xWindow="0" yWindow="0" windowWidth="23040" windowHeight="8190" tabRatio="874" firstSheet="4" activeTab="4"/>
  </bookViews>
  <sheets>
    <sheet name="Tabelle1" sheetId="15" state="hidden" r:id="rId1"/>
    <sheet name="Sachkonten" sheetId="10" state="hidden" r:id="rId2"/>
    <sheet name="RT" sheetId="8" state="hidden" r:id="rId3"/>
    <sheet name="Dokumentation" sheetId="7" state="hidden" r:id="rId4"/>
    <sheet name="Rechnung USt" sheetId="13" r:id="rId5"/>
    <sheet name="Buchungsblatt Bruttoverbucher" sheetId="14" r:id="rId6"/>
  </sheets>
  <definedNames>
    <definedName name="_xlnm._FilterDatabase" localSheetId="4" hidden="1">'Rechnung USt'!$Y$23:$Y$35</definedName>
    <definedName name="_xlnm._FilterDatabase" localSheetId="1" hidden="1">Sachkonten!$A$1:$A$542</definedName>
    <definedName name="_xlnm._FilterDatabase" localSheetId="0" hidden="1">Tabelle1!$B$7:$B$14</definedName>
    <definedName name="a">#REF!</definedName>
    <definedName name="Audi">Sachkonten!$E$1:$E$25</definedName>
    <definedName name="_xlnm.Print_Area" localSheetId="5">'Buchungsblatt Bruttoverbucher'!$A$1:$I$35</definedName>
    <definedName name="_xlnm.Print_Area" localSheetId="3">Dokumentation!$A$1:$C$27</definedName>
    <definedName name="_xlnm.Print_Area" localSheetId="4">'Rechnung USt'!$A$1:$R$50</definedName>
    <definedName name="_xlnm.Print_Titles" localSheetId="3">Dokumentation!$1:$1</definedName>
    <definedName name="Neu">#REF!</definedName>
    <definedName name="nicht_steuerbar">Sachkonten!$G$2:$G$105</definedName>
    <definedName name="Prozent0">Sachkonten!$F$2:$F$46</definedName>
    <definedName name="Prozent19">Sachkonten!$D$2:$D$37</definedName>
    <definedName name="Prozent7">Sachkonten!$E$2:$E$25</definedName>
    <definedName name="regelsteuersatz">Sachkonten!$D$2:$D$37</definedName>
    <definedName name="sd">#REF!</definedName>
    <definedName name="steuerfrei">Sachkonten!$F$2:$F$46</definedName>
    <definedName name="Tabelle1">Sachkonten!$D$1:$D$37</definedName>
    <definedName name="Tabelle10" localSheetId="5">#REF!</definedName>
    <definedName name="Tabelle10" localSheetId="4">#REF!</definedName>
    <definedName name="Tabelle10">#REF!</definedName>
    <definedName name="Tabelle2">Sachkonten!$E$1:$E$25</definedName>
    <definedName name="Tabelle20" localSheetId="5">#REF!</definedName>
    <definedName name="Tabelle20" localSheetId="4">#REF!</definedName>
    <definedName name="Tabelle20">#REF!</definedName>
    <definedName name="Tabelle3">Sachkonten!$F$1:$F$46</definedName>
    <definedName name="Tabelle30" localSheetId="5">#REF!</definedName>
    <definedName name="Tabelle30" localSheetId="4">#REF!</definedName>
    <definedName name="Tabelle30">#REF!</definedName>
    <definedName name="Tabelle4">Sachkonten!$G$1:$G$105</definedName>
    <definedName name="Tabelle40" localSheetId="5">#REF!</definedName>
    <definedName name="Tabelle40" localSheetId="4">#REF!</definedName>
    <definedName name="Tabelle40">#REF!</definedName>
    <definedName name="test">#REF!</definedName>
    <definedName name="vermindert">Sachkonten!$E$2:$E$25</definedName>
    <definedName name="_xlnm.Extract" localSheetId="5">'Buchungsblatt Bruttoverbucher'!$O$20:$O$32</definedName>
    <definedName name="_xlnm.Extract" localSheetId="0">Tabelle1!$H$7</definedName>
    <definedName name="zu_klären">Sachkonten!#REF!</definedName>
  </definedNames>
  <calcPr calcId="162913"/>
</workbook>
</file>

<file path=xl/calcChain.xml><?xml version="1.0" encoding="utf-8"?>
<calcChain xmlns="http://schemas.openxmlformats.org/spreadsheetml/2006/main">
  <c r="E248" i="8" l="1"/>
  <c r="D248" i="8"/>
  <c r="C248" i="8"/>
  <c r="D247" i="8"/>
  <c r="E247" i="8" s="1"/>
  <c r="C247" i="8"/>
  <c r="D246" i="8"/>
  <c r="E246" i="8" s="1"/>
  <c r="C246" i="8"/>
  <c r="D245" i="8"/>
  <c r="E245" i="8" s="1"/>
  <c r="C245" i="8"/>
  <c r="D244" i="8"/>
  <c r="E244" i="8" s="1"/>
  <c r="C244" i="8"/>
  <c r="D243" i="8"/>
  <c r="E243" i="8" s="1"/>
  <c r="C243" i="8"/>
  <c r="D242" i="8"/>
  <c r="E242" i="8" s="1"/>
  <c r="C242" i="8"/>
  <c r="D241" i="8"/>
  <c r="E241" i="8" s="1"/>
  <c r="C241" i="8"/>
  <c r="D240" i="8"/>
  <c r="E240" i="8" s="1"/>
  <c r="C240" i="8"/>
  <c r="D239" i="8"/>
  <c r="E239" i="8" s="1"/>
  <c r="C239" i="8"/>
  <c r="D238" i="8"/>
  <c r="E238" i="8" s="1"/>
  <c r="C238" i="8"/>
  <c r="D237" i="8"/>
  <c r="E237" i="8" s="1"/>
  <c r="C237" i="8"/>
  <c r="D236" i="8"/>
  <c r="E236" i="8" s="1"/>
  <c r="C236" i="8"/>
  <c r="D235" i="8"/>
  <c r="E235" i="8" s="1"/>
  <c r="C235" i="8"/>
  <c r="D234" i="8"/>
  <c r="E234" i="8" s="1"/>
  <c r="C234" i="8"/>
  <c r="E233" i="8"/>
  <c r="D233" i="8"/>
  <c r="C233" i="8"/>
  <c r="D232" i="8"/>
  <c r="E232" i="8" s="1"/>
  <c r="C232" i="8"/>
  <c r="D231" i="8"/>
  <c r="E231" i="8" s="1"/>
  <c r="C231" i="8"/>
  <c r="D230" i="8"/>
  <c r="E230" i="8" s="1"/>
  <c r="C230" i="8"/>
  <c r="D229" i="8"/>
  <c r="E229" i="8" s="1"/>
  <c r="C229" i="8"/>
  <c r="D228" i="8"/>
  <c r="E228" i="8" s="1"/>
  <c r="C228" i="8"/>
  <c r="D227" i="8"/>
  <c r="E227" i="8" s="1"/>
  <c r="C227" i="8"/>
  <c r="E226" i="8"/>
  <c r="D226" i="8"/>
  <c r="C226" i="8"/>
  <c r="D225" i="8"/>
  <c r="E225" i="8" s="1"/>
  <c r="C225" i="8"/>
  <c r="D224" i="8"/>
  <c r="E224" i="8" s="1"/>
  <c r="C224" i="8"/>
  <c r="D223" i="8"/>
  <c r="E223" i="8" s="1"/>
  <c r="C223" i="8"/>
  <c r="D222" i="8"/>
  <c r="E222" i="8" s="1"/>
  <c r="C222" i="8"/>
  <c r="E221" i="8"/>
  <c r="C221" i="8"/>
  <c r="D220" i="8"/>
  <c r="E220" i="8" s="1"/>
  <c r="C220" i="8"/>
  <c r="D219" i="8"/>
  <c r="E219" i="8" s="1"/>
  <c r="D218" i="8"/>
  <c r="E218" i="8" s="1"/>
  <c r="C218" i="8"/>
  <c r="D217" i="8"/>
  <c r="E217" i="8" s="1"/>
  <c r="D216" i="8"/>
  <c r="E216" i="8" s="1"/>
  <c r="C216" i="8"/>
  <c r="E215" i="8"/>
  <c r="D215" i="8"/>
  <c r="C215" i="8"/>
  <c r="D214" i="8"/>
  <c r="E214" i="8" s="1"/>
  <c r="D213" i="8"/>
  <c r="E213" i="8" s="1"/>
  <c r="D212" i="8"/>
  <c r="E212" i="8" s="1"/>
  <c r="C212" i="8"/>
  <c r="D211" i="8"/>
  <c r="E211" i="8" s="1"/>
  <c r="C211" i="8"/>
  <c r="E210" i="8"/>
  <c r="D210" i="8"/>
  <c r="C210" i="8"/>
  <c r="D209" i="8"/>
  <c r="E209" i="8" s="1"/>
  <c r="C209" i="8"/>
  <c r="D208" i="8"/>
  <c r="E208" i="8" s="1"/>
  <c r="C208" i="8"/>
  <c r="D207" i="8"/>
  <c r="E207" i="8" s="1"/>
  <c r="C207" i="8"/>
  <c r="D206" i="8"/>
  <c r="E206" i="8" s="1"/>
  <c r="C206" i="8"/>
  <c r="D205" i="8"/>
  <c r="E205" i="8" s="1"/>
  <c r="C205" i="8"/>
  <c r="D204" i="8"/>
  <c r="E204" i="8" s="1"/>
  <c r="C204" i="8"/>
  <c r="E203" i="8"/>
  <c r="D203" i="8"/>
  <c r="C203" i="8"/>
  <c r="D202" i="8"/>
  <c r="E202" i="8" s="1"/>
  <c r="C202" i="8"/>
  <c r="D201" i="8"/>
  <c r="E201" i="8" s="1"/>
  <c r="C201" i="8"/>
  <c r="D200" i="8"/>
  <c r="E200" i="8" s="1"/>
  <c r="C200" i="8"/>
  <c r="D199" i="8"/>
  <c r="E199" i="8" s="1"/>
  <c r="C199" i="8"/>
  <c r="D198" i="8"/>
  <c r="E198" i="8" s="1"/>
  <c r="C198" i="8"/>
  <c r="D197" i="8"/>
  <c r="E197" i="8" s="1"/>
  <c r="C197" i="8"/>
  <c r="D196" i="8"/>
  <c r="E196" i="8" s="1"/>
  <c r="C196" i="8"/>
  <c r="D195" i="8"/>
  <c r="E195" i="8" s="1"/>
  <c r="C195" i="8"/>
  <c r="D194" i="8"/>
  <c r="E194" i="8" s="1"/>
  <c r="C194" i="8"/>
  <c r="E193" i="8"/>
  <c r="D193" i="8"/>
  <c r="C193" i="8"/>
  <c r="D192" i="8"/>
  <c r="E192" i="8" s="1"/>
  <c r="C192" i="8"/>
  <c r="D191" i="8"/>
  <c r="E191" i="8" s="1"/>
  <c r="C191" i="8"/>
  <c r="D190" i="8"/>
  <c r="E190" i="8" s="1"/>
  <c r="C190" i="8"/>
  <c r="D189" i="8"/>
  <c r="E189" i="8" s="1"/>
  <c r="C189" i="8"/>
  <c r="D188" i="8"/>
  <c r="E188" i="8" s="1"/>
  <c r="C188" i="8"/>
  <c r="E187" i="8"/>
  <c r="C187" i="8"/>
  <c r="D186" i="8"/>
  <c r="E186" i="8" s="1"/>
  <c r="C186" i="8"/>
  <c r="D185" i="8"/>
  <c r="E185" i="8" s="1"/>
  <c r="C185" i="8"/>
  <c r="D184" i="8"/>
  <c r="E184" i="8" s="1"/>
  <c r="C184" i="8"/>
  <c r="D183" i="8"/>
  <c r="E183" i="8" s="1"/>
  <c r="C183" i="8"/>
  <c r="E182" i="8"/>
  <c r="D182" i="8"/>
  <c r="C182" i="8"/>
  <c r="D181" i="8"/>
  <c r="E181" i="8" s="1"/>
  <c r="C181" i="8"/>
  <c r="D180" i="8"/>
  <c r="E180" i="8" s="1"/>
  <c r="C180" i="8"/>
  <c r="D179" i="8"/>
  <c r="E179" i="8" s="1"/>
  <c r="C179" i="8"/>
  <c r="D178" i="8"/>
  <c r="E178" i="8" s="1"/>
  <c r="C178" i="8"/>
  <c r="D177" i="8"/>
  <c r="E177" i="8" s="1"/>
  <c r="C177" i="8"/>
  <c r="D176" i="8"/>
  <c r="E176" i="8" s="1"/>
  <c r="C176" i="8"/>
  <c r="D175" i="8"/>
  <c r="E175" i="8" s="1"/>
  <c r="C175" i="8"/>
  <c r="D174" i="8"/>
  <c r="E174" i="8" s="1"/>
  <c r="C174" i="8"/>
  <c r="D173" i="8"/>
  <c r="E173" i="8" s="1"/>
  <c r="C173" i="8"/>
  <c r="D172" i="8"/>
  <c r="E172" i="8" s="1"/>
  <c r="C172" i="8"/>
  <c r="D171" i="8"/>
  <c r="E171" i="8" s="1"/>
  <c r="C171" i="8"/>
  <c r="D170" i="8"/>
  <c r="E170" i="8" s="1"/>
  <c r="C170" i="8"/>
  <c r="D169" i="8"/>
  <c r="E169" i="8" s="1"/>
  <c r="C169" i="8"/>
  <c r="D168" i="8"/>
  <c r="E168" i="8" s="1"/>
  <c r="C168" i="8"/>
  <c r="E167" i="8"/>
  <c r="D167" i="8"/>
  <c r="C167" i="8"/>
  <c r="D166" i="8"/>
  <c r="E166" i="8" s="1"/>
  <c r="C166" i="8"/>
  <c r="D165" i="8"/>
  <c r="E165" i="8" s="1"/>
  <c r="C165" i="8"/>
  <c r="D164" i="8"/>
  <c r="E164" i="8" s="1"/>
  <c r="C164" i="8"/>
  <c r="D163" i="8"/>
  <c r="E163" i="8" s="1"/>
  <c r="C163" i="8"/>
  <c r="D162" i="8"/>
  <c r="E162" i="8" s="1"/>
  <c r="C162" i="8"/>
  <c r="E161" i="8"/>
  <c r="D161" i="8"/>
  <c r="C161" i="8"/>
  <c r="D160" i="8"/>
  <c r="E160" i="8" s="1"/>
  <c r="C160" i="8"/>
  <c r="D159" i="8"/>
  <c r="E159" i="8" s="1"/>
  <c r="C159" i="8"/>
  <c r="D158" i="8"/>
  <c r="E158" i="8" s="1"/>
  <c r="C158" i="8"/>
  <c r="D157" i="8"/>
  <c r="E157" i="8" s="1"/>
  <c r="C157" i="8"/>
  <c r="D156" i="8"/>
  <c r="E156" i="8" s="1"/>
  <c r="C156" i="8"/>
  <c r="D155" i="8"/>
  <c r="E155" i="8" s="1"/>
  <c r="C155" i="8"/>
  <c r="D154" i="8"/>
  <c r="E154" i="8" s="1"/>
  <c r="C154" i="8"/>
  <c r="D153" i="8"/>
  <c r="E153" i="8" s="1"/>
  <c r="C153" i="8"/>
  <c r="D152" i="8"/>
  <c r="E152" i="8" s="1"/>
  <c r="C152" i="8"/>
  <c r="D151" i="8"/>
  <c r="E151" i="8" s="1"/>
  <c r="C151" i="8"/>
  <c r="E150" i="8"/>
  <c r="D150" i="8"/>
  <c r="C150" i="8"/>
  <c r="D149" i="8"/>
  <c r="E149" i="8" s="1"/>
  <c r="C149" i="8"/>
  <c r="D148" i="8"/>
  <c r="E148" i="8" s="1"/>
  <c r="C148" i="8"/>
  <c r="D147" i="8"/>
  <c r="E147" i="8" s="1"/>
  <c r="C147" i="8"/>
  <c r="D146" i="8"/>
  <c r="E146" i="8" s="1"/>
  <c r="C146" i="8"/>
  <c r="D145" i="8"/>
  <c r="E145" i="8" s="1"/>
  <c r="C145" i="8"/>
  <c r="D144" i="8"/>
  <c r="E144" i="8" s="1"/>
  <c r="C144" i="8"/>
  <c r="D143" i="8"/>
  <c r="E143" i="8" s="1"/>
  <c r="C143" i="8"/>
  <c r="D142" i="8"/>
  <c r="E142" i="8" s="1"/>
  <c r="C142" i="8"/>
  <c r="D141" i="8"/>
  <c r="E141" i="8" s="1"/>
  <c r="C141" i="8"/>
  <c r="D140" i="8"/>
  <c r="E140" i="8" s="1"/>
  <c r="C140" i="8"/>
  <c r="D139" i="8"/>
  <c r="E139" i="8" s="1"/>
  <c r="C139" i="8"/>
  <c r="D138" i="8"/>
  <c r="E138" i="8" s="1"/>
  <c r="C138" i="8"/>
  <c r="D137" i="8"/>
  <c r="E137" i="8" s="1"/>
  <c r="C137" i="8"/>
  <c r="D136" i="8"/>
  <c r="E136" i="8" s="1"/>
  <c r="C136" i="8"/>
  <c r="E135" i="8"/>
  <c r="D135" i="8"/>
  <c r="C135" i="8"/>
  <c r="D134" i="8"/>
  <c r="E134" i="8" s="1"/>
  <c r="C134" i="8"/>
  <c r="D133" i="8"/>
  <c r="E133" i="8" s="1"/>
  <c r="C133" i="8"/>
  <c r="D132" i="8"/>
  <c r="E132" i="8" s="1"/>
  <c r="C132" i="8"/>
  <c r="D131" i="8"/>
  <c r="E131" i="8" s="1"/>
  <c r="C131" i="8"/>
  <c r="D130" i="8"/>
  <c r="E130" i="8" s="1"/>
  <c r="C130" i="8"/>
  <c r="E129" i="8"/>
  <c r="D129" i="8"/>
  <c r="C129" i="8"/>
  <c r="D128" i="8"/>
  <c r="E128" i="8" s="1"/>
  <c r="C128" i="8"/>
  <c r="D127" i="8"/>
  <c r="E127" i="8" s="1"/>
  <c r="C127" i="8"/>
  <c r="D126" i="8"/>
  <c r="E126" i="8" s="1"/>
  <c r="C126" i="8"/>
  <c r="D125" i="8"/>
  <c r="E125" i="8" s="1"/>
  <c r="C125" i="8"/>
  <c r="D124" i="8"/>
  <c r="E124" i="8" s="1"/>
  <c r="C124" i="8"/>
  <c r="D123" i="8"/>
  <c r="E123" i="8" s="1"/>
  <c r="C123" i="8"/>
  <c r="D122" i="8"/>
  <c r="E122" i="8" s="1"/>
  <c r="C122" i="8"/>
  <c r="D121" i="8"/>
  <c r="E121" i="8" s="1"/>
  <c r="C121" i="8"/>
  <c r="D120" i="8"/>
  <c r="E120" i="8" s="1"/>
  <c r="C120" i="8"/>
  <c r="D119" i="8"/>
  <c r="E119" i="8" s="1"/>
  <c r="C119" i="8"/>
  <c r="E118" i="8"/>
  <c r="D118" i="8"/>
  <c r="C118" i="8"/>
  <c r="D117" i="8"/>
  <c r="E117" i="8" s="1"/>
  <c r="C117" i="8"/>
  <c r="D116" i="8"/>
  <c r="E116" i="8" s="1"/>
  <c r="C116" i="8"/>
  <c r="D115" i="8"/>
  <c r="E115" i="8" s="1"/>
  <c r="C115" i="8"/>
  <c r="D114" i="8"/>
  <c r="E114" i="8" s="1"/>
  <c r="C114" i="8"/>
  <c r="D113" i="8"/>
  <c r="E113" i="8" s="1"/>
  <c r="C113" i="8"/>
  <c r="D112" i="8"/>
  <c r="E112" i="8" s="1"/>
  <c r="C112" i="8"/>
  <c r="D111" i="8"/>
  <c r="E111" i="8" s="1"/>
  <c r="C111" i="8"/>
  <c r="D110" i="8"/>
  <c r="E110" i="8" s="1"/>
  <c r="C110" i="8"/>
  <c r="D109" i="8"/>
  <c r="E109" i="8" s="1"/>
  <c r="C109" i="8"/>
  <c r="D108" i="8"/>
  <c r="E108" i="8" s="1"/>
  <c r="C108" i="8"/>
  <c r="D107" i="8"/>
  <c r="E107" i="8" s="1"/>
  <c r="C107" i="8"/>
  <c r="D106" i="8"/>
  <c r="E106" i="8" s="1"/>
  <c r="C106" i="8"/>
  <c r="D105" i="8"/>
  <c r="E105" i="8" s="1"/>
  <c r="C105" i="8"/>
  <c r="D104" i="8"/>
  <c r="E104" i="8" s="1"/>
  <c r="C104" i="8"/>
  <c r="E103" i="8"/>
  <c r="D103" i="8"/>
  <c r="C103" i="8"/>
  <c r="D102" i="8"/>
  <c r="E102" i="8" s="1"/>
  <c r="C102" i="8"/>
  <c r="D101" i="8"/>
  <c r="E101" i="8" s="1"/>
  <c r="C101" i="8"/>
  <c r="D100" i="8"/>
  <c r="E100" i="8" s="1"/>
  <c r="C100" i="8"/>
  <c r="D99" i="8"/>
  <c r="E99" i="8" s="1"/>
  <c r="C99" i="8"/>
  <c r="D98" i="8"/>
  <c r="E98" i="8" s="1"/>
  <c r="C98" i="8"/>
  <c r="E97" i="8"/>
  <c r="D97" i="8"/>
  <c r="C97" i="8"/>
  <c r="D96" i="8"/>
  <c r="E96" i="8" s="1"/>
  <c r="C96" i="8"/>
  <c r="D95" i="8"/>
  <c r="E95" i="8" s="1"/>
  <c r="C95" i="8"/>
  <c r="D94" i="8"/>
  <c r="E94" i="8" s="1"/>
  <c r="C94" i="8"/>
  <c r="D93" i="8"/>
  <c r="E93" i="8" s="1"/>
  <c r="C93" i="8"/>
  <c r="D92" i="8"/>
  <c r="E92" i="8" s="1"/>
  <c r="C92" i="8"/>
  <c r="D91" i="8"/>
  <c r="E91" i="8" s="1"/>
  <c r="C91" i="8"/>
  <c r="D90" i="8"/>
  <c r="E90" i="8" s="1"/>
  <c r="C90" i="8"/>
  <c r="D89" i="8"/>
  <c r="E89" i="8" s="1"/>
  <c r="C89" i="8"/>
  <c r="D88" i="8"/>
  <c r="E88" i="8" s="1"/>
  <c r="C88" i="8"/>
  <c r="D87" i="8"/>
  <c r="E87" i="8" s="1"/>
  <c r="C87" i="8"/>
  <c r="E86" i="8"/>
  <c r="D86" i="8"/>
  <c r="C86" i="8"/>
  <c r="D85" i="8"/>
  <c r="E85" i="8" s="1"/>
  <c r="C85" i="8"/>
  <c r="D84" i="8"/>
  <c r="E84" i="8" s="1"/>
  <c r="C84" i="8"/>
  <c r="D83" i="8"/>
  <c r="E83" i="8" s="1"/>
  <c r="C83" i="8"/>
  <c r="D82" i="8"/>
  <c r="E82" i="8" s="1"/>
  <c r="C82" i="8"/>
  <c r="D81" i="8"/>
  <c r="E81" i="8" s="1"/>
  <c r="C81" i="8"/>
  <c r="D80" i="8"/>
  <c r="E80" i="8" s="1"/>
  <c r="C80" i="8"/>
  <c r="D79" i="8"/>
  <c r="E79" i="8" s="1"/>
  <c r="C79" i="8"/>
  <c r="D78" i="8"/>
  <c r="E78" i="8" s="1"/>
  <c r="C78" i="8"/>
  <c r="D77" i="8"/>
  <c r="E77" i="8" s="1"/>
  <c r="C77" i="8"/>
  <c r="D76" i="8"/>
  <c r="E76" i="8" s="1"/>
  <c r="C76" i="8"/>
  <c r="D75" i="8"/>
  <c r="E75" i="8" s="1"/>
  <c r="C75" i="8"/>
  <c r="D74" i="8"/>
  <c r="E74" i="8" s="1"/>
  <c r="C74" i="8"/>
  <c r="D73" i="8"/>
  <c r="E73" i="8" s="1"/>
  <c r="C73" i="8"/>
  <c r="D72" i="8"/>
  <c r="E72" i="8" s="1"/>
  <c r="C72" i="8"/>
  <c r="E71" i="8"/>
  <c r="D71" i="8"/>
  <c r="C71" i="8"/>
  <c r="D70" i="8"/>
  <c r="E70" i="8" s="1"/>
  <c r="C70" i="8"/>
  <c r="D69" i="8"/>
  <c r="E69" i="8" s="1"/>
  <c r="C69" i="8"/>
  <c r="D68" i="8"/>
  <c r="E68" i="8" s="1"/>
  <c r="C68" i="8"/>
  <c r="D67" i="8"/>
  <c r="E67" i="8" s="1"/>
  <c r="C67" i="8"/>
  <c r="D66" i="8"/>
  <c r="E66" i="8" s="1"/>
  <c r="C66" i="8"/>
  <c r="E65" i="8"/>
  <c r="D65" i="8"/>
  <c r="C65" i="8"/>
  <c r="D64" i="8"/>
  <c r="E64" i="8" s="1"/>
  <c r="C64" i="8"/>
  <c r="D63" i="8"/>
  <c r="E63" i="8" s="1"/>
  <c r="C63" i="8"/>
  <c r="D62" i="8"/>
  <c r="E62" i="8" s="1"/>
  <c r="C62" i="8"/>
  <c r="D61" i="8"/>
  <c r="E61" i="8" s="1"/>
  <c r="C61" i="8"/>
  <c r="D60" i="8"/>
  <c r="E60" i="8" s="1"/>
  <c r="C60" i="8"/>
  <c r="D59" i="8"/>
  <c r="E59" i="8" s="1"/>
  <c r="C59" i="8"/>
  <c r="D58" i="8"/>
  <c r="E58" i="8" s="1"/>
  <c r="C58" i="8"/>
  <c r="D57" i="8"/>
  <c r="E57" i="8" s="1"/>
  <c r="C57" i="8"/>
  <c r="D56" i="8"/>
  <c r="E56" i="8" s="1"/>
  <c r="C56" i="8"/>
  <c r="D55" i="8"/>
  <c r="E55" i="8" s="1"/>
  <c r="C55" i="8"/>
  <c r="D54" i="8"/>
  <c r="E54" i="8" s="1"/>
  <c r="C54" i="8"/>
  <c r="D53" i="8"/>
  <c r="E53" i="8" s="1"/>
  <c r="C53" i="8"/>
  <c r="D52" i="8"/>
  <c r="E52" i="8" s="1"/>
  <c r="C52" i="8"/>
  <c r="D51" i="8"/>
  <c r="E51" i="8" s="1"/>
  <c r="C51" i="8"/>
  <c r="D50" i="8"/>
  <c r="E50" i="8" s="1"/>
  <c r="C50" i="8"/>
  <c r="D49" i="8"/>
  <c r="E49" i="8" s="1"/>
  <c r="C49" i="8"/>
  <c r="D48" i="8"/>
  <c r="E48" i="8" s="1"/>
  <c r="C48" i="8"/>
  <c r="D47" i="8"/>
  <c r="E47" i="8" s="1"/>
  <c r="C47" i="8"/>
  <c r="D46" i="8"/>
  <c r="E46" i="8" s="1"/>
  <c r="C46" i="8"/>
  <c r="D45" i="8"/>
  <c r="E45" i="8" s="1"/>
  <c r="C45" i="8"/>
  <c r="D44" i="8"/>
  <c r="E44" i="8" s="1"/>
  <c r="C44" i="8"/>
  <c r="D43" i="8"/>
  <c r="E43" i="8" s="1"/>
  <c r="C43" i="8"/>
  <c r="D42" i="8"/>
  <c r="E42" i="8" s="1"/>
  <c r="C42" i="8"/>
  <c r="D41" i="8"/>
  <c r="E41" i="8" s="1"/>
  <c r="C41" i="8"/>
  <c r="D40" i="8"/>
  <c r="E40" i="8" s="1"/>
  <c r="C40" i="8"/>
  <c r="E39" i="8"/>
  <c r="D39" i="8"/>
  <c r="C39" i="8"/>
  <c r="D38" i="8"/>
  <c r="E38" i="8" s="1"/>
  <c r="C38" i="8"/>
  <c r="D37" i="8"/>
  <c r="E37" i="8" s="1"/>
  <c r="C37" i="8"/>
  <c r="D36" i="8"/>
  <c r="E36" i="8" s="1"/>
  <c r="C36" i="8"/>
  <c r="D35" i="8"/>
  <c r="E35" i="8" s="1"/>
  <c r="C35" i="8"/>
  <c r="D34" i="8"/>
  <c r="E34" i="8" s="1"/>
  <c r="C34" i="8"/>
  <c r="E33" i="8"/>
  <c r="D33" i="8"/>
  <c r="C33" i="8"/>
  <c r="D32" i="8"/>
  <c r="E32" i="8" s="1"/>
  <c r="C32" i="8"/>
  <c r="D31" i="8"/>
  <c r="E31" i="8" s="1"/>
  <c r="C31" i="8"/>
  <c r="D30" i="8"/>
  <c r="E30" i="8" s="1"/>
  <c r="C30" i="8"/>
  <c r="D29" i="8"/>
  <c r="E29" i="8" s="1"/>
  <c r="C29" i="8"/>
  <c r="D28" i="8"/>
  <c r="E28" i="8" s="1"/>
  <c r="C28" i="8"/>
  <c r="D27" i="8"/>
  <c r="E27" i="8" s="1"/>
  <c r="C27" i="8"/>
  <c r="D26" i="8"/>
  <c r="E26" i="8" s="1"/>
  <c r="C26" i="8"/>
  <c r="D25" i="8"/>
  <c r="E25" i="8" s="1"/>
  <c r="C25" i="8"/>
  <c r="D24" i="8"/>
  <c r="E24" i="8" s="1"/>
  <c r="C24" i="8"/>
  <c r="D23" i="8"/>
  <c r="E23" i="8" s="1"/>
  <c r="C23" i="8"/>
  <c r="D22" i="8"/>
  <c r="E22" i="8" s="1"/>
  <c r="C22" i="8"/>
  <c r="D21" i="8"/>
  <c r="E21" i="8" s="1"/>
  <c r="C21" i="8"/>
  <c r="D20" i="8"/>
  <c r="E20" i="8" s="1"/>
  <c r="C20" i="8"/>
  <c r="D19" i="8"/>
  <c r="E19" i="8" s="1"/>
  <c r="C19" i="8"/>
  <c r="D18" i="8"/>
  <c r="E18" i="8" s="1"/>
  <c r="C18" i="8"/>
  <c r="D17" i="8"/>
  <c r="E17" i="8" s="1"/>
  <c r="C17" i="8"/>
  <c r="D16" i="8"/>
  <c r="E16" i="8" s="1"/>
  <c r="C16" i="8"/>
  <c r="D15" i="8"/>
  <c r="E15" i="8" s="1"/>
  <c r="C15" i="8"/>
  <c r="D14" i="8"/>
  <c r="E14" i="8" s="1"/>
  <c r="C14" i="8"/>
  <c r="D13" i="8"/>
  <c r="E13" i="8" s="1"/>
  <c r="C13" i="8"/>
  <c r="D12" i="8"/>
  <c r="E12" i="8" s="1"/>
  <c r="C12" i="8"/>
  <c r="D11" i="8"/>
  <c r="E11" i="8" s="1"/>
  <c r="C11" i="8"/>
  <c r="D10" i="8"/>
  <c r="E10" i="8" s="1"/>
  <c r="C10" i="8"/>
  <c r="D9" i="8"/>
  <c r="E9" i="8" s="1"/>
  <c r="C9" i="8"/>
  <c r="D8" i="8"/>
  <c r="E8" i="8" s="1"/>
  <c r="C8" i="8"/>
  <c r="E7" i="8"/>
  <c r="D7" i="8"/>
  <c r="C7" i="8"/>
  <c r="D6" i="8"/>
  <c r="E6" i="8" s="1"/>
  <c r="C6" i="8"/>
  <c r="D5" i="8"/>
  <c r="E5" i="8" s="1"/>
  <c r="C5" i="8"/>
  <c r="D4" i="8"/>
  <c r="E4" i="8" s="1"/>
  <c r="C4" i="8"/>
  <c r="D3" i="8"/>
  <c r="E3" i="8" s="1"/>
  <c r="C3" i="8"/>
  <c r="D2" i="8"/>
  <c r="E2" i="8" s="1"/>
  <c r="C2" i="8"/>
  <c r="D17" i="13" l="1"/>
  <c r="Q23" i="13" l="1"/>
  <c r="Q24" i="13"/>
  <c r="Q25" i="13"/>
  <c r="Q26" i="13"/>
  <c r="Q27" i="13"/>
  <c r="Q28" i="13"/>
  <c r="Q29" i="13"/>
  <c r="Q30" i="13"/>
  <c r="Q31" i="13"/>
  <c r="Q32" i="13"/>
  <c r="Q33" i="13"/>
  <c r="Q34" i="13"/>
  <c r="Q35" i="13"/>
  <c r="R23" i="13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3" i="10"/>
  <c r="J4" i="10" s="1"/>
  <c r="J5" i="10" s="1"/>
  <c r="J6" i="10" s="1"/>
  <c r="J7" i="10" s="1"/>
  <c r="J8" i="10" s="1"/>
  <c r="J9" i="10" s="1"/>
  <c r="J10" i="10" s="1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J160" i="10" s="1"/>
  <c r="J161" i="10" s="1"/>
  <c r="J162" i="10" s="1"/>
  <c r="J163" i="10" s="1"/>
  <c r="J164" i="10" s="1"/>
  <c r="J165" i="10" s="1"/>
  <c r="J166" i="10" s="1"/>
  <c r="J167" i="10" s="1"/>
  <c r="J168" i="10" s="1"/>
  <c r="J169" i="10" s="1"/>
  <c r="J170" i="10" s="1"/>
  <c r="J171" i="10" s="1"/>
  <c r="J172" i="10" s="1"/>
  <c r="J173" i="10" s="1"/>
  <c r="J174" i="10" s="1"/>
  <c r="J175" i="10" s="1"/>
  <c r="J176" i="10" s="1"/>
  <c r="J177" i="10" s="1"/>
  <c r="J178" i="10" s="1"/>
  <c r="J179" i="10" s="1"/>
  <c r="J180" i="10" s="1"/>
  <c r="J181" i="10" s="1"/>
  <c r="J182" i="10" s="1"/>
  <c r="J183" i="10" s="1"/>
  <c r="J184" i="10" s="1"/>
  <c r="J185" i="10" s="1"/>
  <c r="J186" i="10" s="1"/>
  <c r="J187" i="10" s="1"/>
  <c r="J188" i="10" s="1"/>
  <c r="J189" i="10" s="1"/>
  <c r="J190" i="10" s="1"/>
  <c r="J191" i="10" s="1"/>
  <c r="J192" i="10" s="1"/>
  <c r="J193" i="10" s="1"/>
  <c r="J194" i="10" s="1"/>
  <c r="J195" i="10" s="1"/>
  <c r="J196" i="10" s="1"/>
  <c r="J197" i="10" s="1"/>
  <c r="J198" i="10" s="1"/>
  <c r="J199" i="10" s="1"/>
  <c r="J200" i="10" s="1"/>
  <c r="J201" i="10" s="1"/>
  <c r="J202" i="10" s="1"/>
  <c r="J203" i="10" s="1"/>
  <c r="J204" i="10" s="1"/>
  <c r="J205" i="10" s="1"/>
  <c r="J206" i="10" s="1"/>
  <c r="J207" i="10" s="1"/>
  <c r="J208" i="10" s="1"/>
  <c r="J209" i="10" s="1"/>
  <c r="J210" i="10" s="1"/>
  <c r="K2" i="10"/>
  <c r="S23" i="13" l="1"/>
  <c r="A27" i="13"/>
  <c r="A28" i="13"/>
  <c r="A29" i="13"/>
  <c r="A30" i="13"/>
  <c r="A31" i="13"/>
  <c r="A32" i="13"/>
  <c r="A33" i="13"/>
  <c r="A34" i="13"/>
  <c r="A35" i="13"/>
  <c r="Y35" i="13" l="1"/>
  <c r="Z35" i="13" s="1"/>
  <c r="Y26" i="13" l="1"/>
  <c r="Y24" i="13"/>
  <c r="Z24" i="13" s="1"/>
  <c r="Y25" i="13"/>
  <c r="Z25" i="13" s="1"/>
  <c r="Y27" i="13"/>
  <c r="Z27" i="13" s="1"/>
  <c r="Y28" i="13"/>
  <c r="Z28" i="13" s="1"/>
  <c r="Y29" i="13"/>
  <c r="Z29" i="13" s="1"/>
  <c r="Y30" i="13"/>
  <c r="Z30" i="13" s="1"/>
  <c r="Y31" i="13"/>
  <c r="Z31" i="13" s="1"/>
  <c r="Y32" i="13"/>
  <c r="Z32" i="13" s="1"/>
  <c r="Y33" i="13"/>
  <c r="Z33" i="13" s="1"/>
  <c r="Y34" i="13"/>
  <c r="Z34" i="13" s="1"/>
  <c r="Y23" i="13"/>
  <c r="Z23" i="13" s="1"/>
  <c r="Z26" i="13" l="1"/>
  <c r="A26" i="13" s="1"/>
  <c r="A25" i="13"/>
  <c r="A24" i="13"/>
  <c r="A23" i="13"/>
  <c r="U32" i="14" l="1"/>
  <c r="T32" i="14" s="1"/>
  <c r="U24" i="14"/>
  <c r="T24" i="14" s="1"/>
  <c r="U26" i="14"/>
  <c r="T26" i="14" s="1"/>
  <c r="U29" i="14"/>
  <c r="T29" i="14" s="1"/>
  <c r="U31" i="14"/>
  <c r="T31" i="14" s="1"/>
  <c r="U22" i="14"/>
  <c r="T22" i="14" s="1"/>
  <c r="U25" i="14"/>
  <c r="T25" i="14" s="1"/>
  <c r="U23" i="14"/>
  <c r="T23" i="14" s="1"/>
  <c r="U28" i="14"/>
  <c r="T28" i="14" s="1"/>
  <c r="U21" i="14"/>
  <c r="T21" i="14" s="1"/>
  <c r="U30" i="14"/>
  <c r="T30" i="14" s="1"/>
  <c r="U27" i="14"/>
  <c r="T27" i="14" s="1"/>
  <c r="U20" i="14"/>
  <c r="T20" i="14" s="1"/>
  <c r="B9" i="13"/>
  <c r="B7" i="13"/>
  <c r="B6" i="13"/>
  <c r="R20" i="14" l="1"/>
  <c r="M20" i="14" s="1"/>
  <c r="R24" i="14"/>
  <c r="M24" i="14" s="1"/>
  <c r="R23" i="14"/>
  <c r="M23" i="14" s="1"/>
  <c r="R22" i="14"/>
  <c r="M22" i="14" s="1"/>
  <c r="R32" i="14"/>
  <c r="M32" i="14" s="1"/>
  <c r="R27" i="14"/>
  <c r="M27" i="14" s="1"/>
  <c r="R21" i="14"/>
  <c r="M21" i="14" s="1"/>
  <c r="R30" i="14"/>
  <c r="M30" i="14" s="1"/>
  <c r="R29" i="14"/>
  <c r="M29" i="14" s="1"/>
  <c r="R28" i="14"/>
  <c r="M28" i="14" s="1"/>
  <c r="R31" i="14"/>
  <c r="M31" i="14" s="1"/>
  <c r="R26" i="14"/>
  <c r="M26" i="14" s="1"/>
  <c r="R25" i="14"/>
  <c r="M25" i="14" s="1"/>
  <c r="B10" i="14"/>
  <c r="L32" i="14" l="1"/>
  <c r="L31" i="14"/>
  <c r="L30" i="14"/>
  <c r="L29" i="14"/>
  <c r="L28" i="14"/>
  <c r="L27" i="14"/>
  <c r="L26" i="14"/>
  <c r="L25" i="14"/>
  <c r="L24" i="14"/>
  <c r="B9" i="14"/>
  <c r="O30" i="14" l="1"/>
  <c r="A30" i="14" s="1"/>
  <c r="G30" i="14" s="1"/>
  <c r="O28" i="14"/>
  <c r="A28" i="14" s="1"/>
  <c r="G28" i="14" s="1"/>
  <c r="O31" i="14"/>
  <c r="A31" i="14" s="1"/>
  <c r="G31" i="14" s="1"/>
  <c r="O26" i="14"/>
  <c r="A26" i="14" s="1"/>
  <c r="G26" i="14" s="1"/>
  <c r="O23" i="14"/>
  <c r="O32" i="14"/>
  <c r="A32" i="14" s="1"/>
  <c r="G32" i="14" s="1"/>
  <c r="O24" i="14"/>
  <c r="A24" i="14" s="1"/>
  <c r="G24" i="14" s="1"/>
  <c r="O21" i="14"/>
  <c r="O29" i="14"/>
  <c r="A29" i="14" s="1"/>
  <c r="G29" i="14" s="1"/>
  <c r="O27" i="14"/>
  <c r="A27" i="14" s="1"/>
  <c r="G27" i="14" s="1"/>
  <c r="O22" i="14"/>
  <c r="A22" i="14" s="1"/>
  <c r="G22" i="14" s="1"/>
  <c r="O20" i="14"/>
  <c r="O25" i="14"/>
  <c r="A25" i="14" s="1"/>
  <c r="G25" i="14" s="1"/>
  <c r="R24" i="13"/>
  <c r="S24" i="13" s="1"/>
  <c r="R25" i="13"/>
  <c r="S25" i="13" s="1"/>
  <c r="R26" i="13"/>
  <c r="S26" i="13" s="1"/>
  <c r="R27" i="13"/>
  <c r="S27" i="13" s="1"/>
  <c r="R28" i="13"/>
  <c r="S28" i="13" s="1"/>
  <c r="R29" i="13"/>
  <c r="S29" i="13" s="1"/>
  <c r="R30" i="13"/>
  <c r="S30" i="13" s="1"/>
  <c r="R31" i="13"/>
  <c r="S31" i="13" s="1"/>
  <c r="R32" i="13"/>
  <c r="S32" i="13" s="1"/>
  <c r="R33" i="13"/>
  <c r="S33" i="13" s="1"/>
  <c r="R34" i="13"/>
  <c r="S34" i="13" s="1"/>
  <c r="R35" i="13"/>
  <c r="S35" i="13" s="1"/>
  <c r="T19" i="13"/>
  <c r="B19" i="13"/>
  <c r="V4" i="13"/>
  <c r="B5" i="14"/>
  <c r="M5" i="13" l="1"/>
  <c r="B48" i="13" s="1"/>
  <c r="R36" i="13"/>
  <c r="B38" i="13" s="1"/>
  <c r="A20" i="14"/>
  <c r="G20" i="14" s="1"/>
  <c r="A21" i="14"/>
  <c r="G21" i="14" s="1"/>
  <c r="A23" i="14"/>
  <c r="G23" i="14" s="1"/>
  <c r="B26" i="14"/>
  <c r="D26" i="14"/>
  <c r="D25" i="14"/>
  <c r="B25" i="14"/>
  <c r="B22" i="14"/>
  <c r="D22" i="14"/>
  <c r="D24" i="14"/>
  <c r="B24" i="14"/>
  <c r="D31" i="14"/>
  <c r="B31" i="14"/>
  <c r="D27" i="14"/>
  <c r="B27" i="14"/>
  <c r="D32" i="14"/>
  <c r="B32" i="14"/>
  <c r="D28" i="14"/>
  <c r="B28" i="14"/>
  <c r="D29" i="14"/>
  <c r="B29" i="14"/>
  <c r="B30" i="14"/>
  <c r="D30" i="14"/>
  <c r="H2" i="14"/>
  <c r="B5" i="13" l="1"/>
  <c r="B23" i="14"/>
  <c r="B20" i="14"/>
  <c r="D20" i="14"/>
  <c r="F20" i="14" s="1"/>
  <c r="D23" i="14"/>
  <c r="D21" i="14"/>
  <c r="B21" i="14"/>
  <c r="R14" i="13" l="1"/>
  <c r="T18" i="13" l="1"/>
  <c r="V19" i="13"/>
  <c r="B17" i="13" l="1"/>
  <c r="R15" i="13"/>
  <c r="C17" i="13" l="1"/>
  <c r="F17" i="13"/>
  <c r="G17" i="13" s="1"/>
  <c r="I17" i="13"/>
  <c r="B49" i="13" l="1"/>
  <c r="F32" i="14" l="1"/>
  <c r="F27" i="14"/>
  <c r="F24" i="14"/>
  <c r="F29" i="14"/>
  <c r="F31" i="14"/>
  <c r="F23" i="14"/>
  <c r="F30" i="14"/>
  <c r="F26" i="14"/>
  <c r="F25" i="14"/>
  <c r="F22" i="14"/>
  <c r="F28" i="14"/>
  <c r="F21" i="14" l="1"/>
  <c r="B16" i="14" l="1"/>
  <c r="A33" i="14"/>
  <c r="B33" i="14" s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16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C247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C25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</commentList>
</comments>
</file>

<file path=xl/sharedStrings.xml><?xml version="1.0" encoding="utf-8"?>
<sst xmlns="http://schemas.openxmlformats.org/spreadsheetml/2006/main" count="1364" uniqueCount="563">
  <si>
    <t>Rechnungsdatum</t>
  </si>
  <si>
    <t>Rechnung</t>
  </si>
  <si>
    <t>Bezeichnung</t>
  </si>
  <si>
    <t>Pos.</t>
  </si>
  <si>
    <t>Leistungsart</t>
  </si>
  <si>
    <t>Zahlungsziel</t>
  </si>
  <si>
    <t>Bitte eintragen</t>
  </si>
  <si>
    <t>Rechnungsnummer</t>
  </si>
  <si>
    <t>Mit freundlichen Grüßen</t>
  </si>
  <si>
    <t>Mandant</t>
  </si>
  <si>
    <t>Rechnungsbetrag</t>
  </si>
  <si>
    <t>Version</t>
  </si>
  <si>
    <t>Datum</t>
  </si>
  <si>
    <t>Beschreibung der Änderung</t>
  </si>
  <si>
    <t>1.0</t>
  </si>
  <si>
    <t>RT</t>
  </si>
  <si>
    <t>Kirchengemeinde / Dekanat /RV</t>
  </si>
  <si>
    <t>Handkasse der</t>
  </si>
  <si>
    <t>HK-Nr. und RT-Nr.
für Handkasse</t>
  </si>
  <si>
    <t>RV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</si>
  <si>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</si>
  <si>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Partnerkonto</t>
  </si>
  <si>
    <t>(abweichender Zahlungsempfänger)</t>
  </si>
  <si>
    <t>Anschrift:</t>
  </si>
  <si>
    <t>Bankname:</t>
  </si>
  <si>
    <t>IBAN:</t>
  </si>
  <si>
    <t>BIC:</t>
  </si>
  <si>
    <r>
      <t xml:space="preserve">Erläuterung:
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</si>
  <si>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r>
      <rPr>
        <b/>
        <i/>
        <sz val="15"/>
        <color theme="1" tint="0.249977111117893"/>
        <rFont val="Calibri"/>
        <family val="2"/>
        <scheme val="minor"/>
      </rPr>
      <t>Buchung</t>
    </r>
    <r>
      <rPr>
        <b/>
        <i/>
        <sz val="14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(Splitbuchung)</t>
    </r>
  </si>
  <si>
    <t>AObj.</t>
  </si>
  <si>
    <t>- Datum / geprüft -</t>
  </si>
  <si>
    <t>- Datum / angeordnet -</t>
  </si>
  <si>
    <t>Sachkonto</t>
  </si>
  <si>
    <t>nicht steuerbar</t>
  </si>
  <si>
    <t>401310 - Sonstige Entgelte Verpfl. 19%</t>
  </si>
  <si>
    <t>401351 - Sonstige Erträge Kita 19%</t>
  </si>
  <si>
    <t>401410 - Eintrittsgelder 19%</t>
  </si>
  <si>
    <t>401510 - Teilnehmerbeiträge 19%</t>
  </si>
  <si>
    <t>401910 - Sonst. Erträge kirchl.Dienste 19%</t>
  </si>
  <si>
    <t>402020 - Grabpflegeentgelte 19%</t>
  </si>
  <si>
    <t>402040 - Sonstg. Entg. Friedhof 19%</t>
  </si>
  <si>
    <t>403110 - Erträge kirchl. Veröffentl. 19%</t>
  </si>
  <si>
    <t>411100 - Unterkunft 19%</t>
  </si>
  <si>
    <t>412100 - Verpflegung 19%</t>
  </si>
  <si>
    <t>413100 - Tagungsentgelte 19%</t>
  </si>
  <si>
    <t>414100 - Miete 19%</t>
  </si>
  <si>
    <t>415100 - Sonst. Umsatzerlöse BGA 19%</t>
  </si>
  <si>
    <t>415510 - Sonst. Verkauferlöse 19%</t>
  </si>
  <si>
    <t>416100 - Getränkeverk., Kioskwaren 19%</t>
  </si>
  <si>
    <t>417100 - Ausfallerstattung 19%</t>
  </si>
  <si>
    <t>418100 - Abdruckrechte 19%</t>
  </si>
  <si>
    <t>419100 - Energieerzeugungsanlagen 19%</t>
  </si>
  <si>
    <t>426110 - Nutzungsentschädigungen KV 19%</t>
  </si>
  <si>
    <t>426210 - Nutzungsentschädigungen PV 19%</t>
  </si>
  <si>
    <t>426910 - Sonst. Nutzungsentsch. 19%</t>
  </si>
  <si>
    <t>427110 - So. Ertr. Grundvermögen KV 19%</t>
  </si>
  <si>
    <t>427210 - So. Ertr. Grundvermögen PV 19%</t>
  </si>
  <si>
    <t>427910 - Sonst.Ertr.Grundverm.u.Rechte ÜV 19%</t>
  </si>
  <si>
    <t>431110 - Personalkostenersatz EKHN 19%</t>
  </si>
  <si>
    <t>431210 - Erträge  Kostenübernahmen 19 %</t>
  </si>
  <si>
    <t>432110 - Personalkostenersatz aus EKD 19%</t>
  </si>
  <si>
    <t>433110 - PK-Erstattung von der Diakonie 19%</t>
  </si>
  <si>
    <t>433210 - PK-Erstattungen v. anderen selbst.Einr. 19%</t>
  </si>
  <si>
    <t>434010 - PK-Erstattungen v.Sonst. kirchl.Bereich 19%</t>
  </si>
  <si>
    <t>435110 - PK-Erstattung v. Dritten 19%</t>
  </si>
  <si>
    <t>485010 - Erträge Sponsoring 19%</t>
  </si>
  <si>
    <t>531910 - Sonstige Erstattungen 19%</t>
  </si>
  <si>
    <t>538010 - Periodenfr. Erträge 19%</t>
  </si>
  <si>
    <t>539910 - Sonst. Ordentl. Erträge 19%</t>
  </si>
  <si>
    <t>599910 - Sonst. ao. Erträge 19%</t>
  </si>
  <si>
    <t>401320 - Sonstige Entgelte Verpfl. 7%</t>
  </si>
  <si>
    <t>401352 - Sonstige Erträge Kita 7%</t>
  </si>
  <si>
    <t>401420 - Eintrittsgelder 7%</t>
  </si>
  <si>
    <t>401520 - Teilnehmerbeiträge 7%</t>
  </si>
  <si>
    <t>402050 - Sonstg. Entg. Friedhof 7%</t>
  </si>
  <si>
    <t>403220 - Erträge.Vertr kirchl.Schriften 7%</t>
  </si>
  <si>
    <t>411200 - Unterkunft 7%</t>
  </si>
  <si>
    <t>412200 - Verpflegung 7%</t>
  </si>
  <si>
    <t>413200 - Tagungsentgelte 7%</t>
  </si>
  <si>
    <t>414200 - Miete 7%</t>
  </si>
  <si>
    <t>415200 - Sonst. Umsatzerlöse BGA 7%</t>
  </si>
  <si>
    <t>415520 - Sonst. Verkaufserlöse 7%</t>
  </si>
  <si>
    <t>416200 - Getränkeverk., Kioskwaren 7%</t>
  </si>
  <si>
    <t>417200 - Ausfallerstattung 7%</t>
  </si>
  <si>
    <t>418200 - Abdruckrechte 7%</t>
  </si>
  <si>
    <t>419200 - Energieerzeugungsanlagen 7%</t>
  </si>
  <si>
    <t>427130 - So. Ertr. Grundvermögen KV 7%</t>
  </si>
  <si>
    <t>427230 - So. Ertr. Grundvermögen PV 7%</t>
  </si>
  <si>
    <t>427930 - Sonst.Ertr.Grundverm.u.Rechte ÜV 7%</t>
  </si>
  <si>
    <t>431220 - Erträge  Kostenübernahmen 7 %</t>
  </si>
  <si>
    <t>531920 - Sonstige Erstattungen 7%</t>
  </si>
  <si>
    <t>538020 - Periodenfr. Erträge 7%</t>
  </si>
  <si>
    <t>539920 - Sonst. Ordentl. Erträge 7%</t>
  </si>
  <si>
    <t>599920 - Sonst. ao. Erträge 7%</t>
  </si>
  <si>
    <t>401210 - Schulgeld und Elternbeiträge 0%</t>
  </si>
  <si>
    <t>401330 - Sonstige Entgelte Verpfl. 0%</t>
  </si>
  <si>
    <t>401353 - Sonstige Erträge Kita 0%</t>
  </si>
  <si>
    <t>401430 - Eintrittsgelder 0%</t>
  </si>
  <si>
    <t>401530 - Teilnehmerbeiträge 0%</t>
  </si>
  <si>
    <t>401930 - Sonst. Erträge kirchl.Dienste 0%</t>
  </si>
  <si>
    <t>402030 - Grabpflegeentgelte 0%</t>
  </si>
  <si>
    <t>402060 - Sonstg. Entg. Friedhof 0%</t>
  </si>
  <si>
    <t>403330 - Sonst. kirchl. Verkaufserträge 0%</t>
  </si>
  <si>
    <t>411300 - Unterkunft steuerfrei 0%</t>
  </si>
  <si>
    <t>412300 - Verpflegung steuerfrei 0%</t>
  </si>
  <si>
    <t>413300 - Tagungsentgelte steuerfrei 0%</t>
  </si>
  <si>
    <t>415300 - Sonst. Umsatzerlöse BGA 0%</t>
  </si>
  <si>
    <t>415530 - Sonst. Verkaufserlöse 0%</t>
  </si>
  <si>
    <t>416300 - Getränkeverk., Kioskwaren 0%</t>
  </si>
  <si>
    <t>417300 - Ausfallerstattung steuerfr. 0%</t>
  </si>
  <si>
    <t>418300 - Abdruckrechte steuerfrei 0%</t>
  </si>
  <si>
    <t>419300 - Energieerzeugungsanlagen 0 %</t>
  </si>
  <si>
    <t>426130 - Nutzungsentschädigungen KV 0%</t>
  </si>
  <si>
    <t>426230 - Nutzungsentschädigungen PV 0%</t>
  </si>
  <si>
    <t>426930 - Sonst. Nutzungsentsch. 0%</t>
  </si>
  <si>
    <t>427150 - So. Ertr. Grundvermögen KV 0%</t>
  </si>
  <si>
    <t>427250 - So. Ertr. Grundvermögen PV 0%</t>
  </si>
  <si>
    <t>427950 - Sonst.Ertr.Grundverm.u.Rechte ÜV 0%</t>
  </si>
  <si>
    <t>431130 - Personalkostenersatz EKHN 0%</t>
  </si>
  <si>
    <t>432130 - Personalkostenersatz aus EKD 0%</t>
  </si>
  <si>
    <t>433130 - PK-Erstattung von der Diakonie 0%</t>
  </si>
  <si>
    <t>433230 - PK-Erstattungen v. anderen selbst.Einr. 0%</t>
  </si>
  <si>
    <t>434030 - PK-Erstattungen v.Sonst. kirchl.Bereich 0%</t>
  </si>
  <si>
    <t>435130 - PK-Erstattung v Dritten 0%</t>
  </si>
  <si>
    <t>485020 - Errtäge Sponsoring 0%</t>
  </si>
  <si>
    <t>531110 - Erstattungen für Heizkosten</t>
  </si>
  <si>
    <t>531120 - Erstattungen für Nebenkosten</t>
  </si>
  <si>
    <t>531930 - Sonstige Erstattungen 0%</t>
  </si>
  <si>
    <t>536000 - Erträge aus Versicherungsl.</t>
  </si>
  <si>
    <t>538030 - Periodenfr. Erträge 0%</t>
  </si>
  <si>
    <t>539930 - Sonst. Ordentl. Erträge 0%</t>
  </si>
  <si>
    <t>571000 - Ertr.a. Beteilig.u.and.FA (AV)</t>
  </si>
  <si>
    <t>581100 - Zinserträge aus der EKHN</t>
  </si>
  <si>
    <t>582000 - Zinserträge innerh. EKD</t>
  </si>
  <si>
    <t>584000 - Zinsertr.v.Sonst.kirch.Bereich</t>
  </si>
  <si>
    <t>585000 - Zinserträge v.Kreditinstituten</t>
  </si>
  <si>
    <t>589000 - Sonst. Zins- und ähnl.Erträge</t>
  </si>
  <si>
    <t>591000 - Ertr. Verkauf Grundst. u. Geb.</t>
  </si>
  <si>
    <t>599930 - Sonst. ao. Erträge 0%</t>
  </si>
  <si>
    <t>401100 - Gebühren Amtshandlungen</t>
  </si>
  <si>
    <t>401354 - Sonstige Erträge Kita n.stb</t>
  </si>
  <si>
    <t>401440 - Eintrittsgelder n.stb.</t>
  </si>
  <si>
    <t>401540 - Teilnehmerbeiträge n. stb.</t>
  </si>
  <si>
    <t>401700 - Gebühren für Archivnutzung</t>
  </si>
  <si>
    <t>401940 - Sonst. Erträge kirchl.Dienste n.stb.</t>
  </si>
  <si>
    <t>402010 - Liegegebühren n.stb.</t>
  </si>
  <si>
    <t>402070 - Sonstg. Entg. Friedhof n.stb.</t>
  </si>
  <si>
    <t>403100 - Erträge kirchl. Veröffentl.</t>
  </si>
  <si>
    <t>403240 - Erträge.Vertr kirchl.Schriften n.stb.</t>
  </si>
  <si>
    <t>403340 - Sonst. kirchl. Verkaufserträge n.stb.</t>
  </si>
  <si>
    <t>409000 - Sonst. Erträge kirchl.Aufgaben</t>
  </si>
  <si>
    <t>411400 - Unterkunft nicht steuerbar</t>
  </si>
  <si>
    <t>412400 - Verpflegung nicht steuerbar</t>
  </si>
  <si>
    <t>413400 - Tagungsentgelte n.steuerbar</t>
  </si>
  <si>
    <t>414400 - Miete nicht steuerbar</t>
  </si>
  <si>
    <t>415400 - Sonst.Umsatzerl.BGA n.steuerb.</t>
  </si>
  <si>
    <t>416400 - Getränkeverk.,Kiosk n.steuerb.</t>
  </si>
  <si>
    <t>417400 - Ausfallerstattung n. steuerbar</t>
  </si>
  <si>
    <t>418400 - Abdruckrechte nicht steuerbar</t>
  </si>
  <si>
    <t>419400 - Energieerzeugungsanl.n.steuerb</t>
  </si>
  <si>
    <t>426140 - Nutzungsentschädigungen KV n.stb.</t>
  </si>
  <si>
    <t>426240 - Nutzungsentschädigungen PV n.stb.</t>
  </si>
  <si>
    <t>426940 - Sonst. Nutzungsentsch. n. stb.</t>
  </si>
  <si>
    <t>427160 - So. Ertr. Grundvermögen KV n. stb.</t>
  </si>
  <si>
    <t>427260 - So. Ertr. Grundvermögen PV n.stb.</t>
  </si>
  <si>
    <t>427960 - Sonst.Ertr.Grundverm.u.Rechte ÜV n.stb.</t>
  </si>
  <si>
    <t>431140 - Personalkostenersatz EKHN n.stb.</t>
  </si>
  <si>
    <t>431230 - Zuschüsse ZV, nicht steuerbar</t>
  </si>
  <si>
    <t>432140 - Personalkostenersatz aus EKD n.stb.</t>
  </si>
  <si>
    <t>433140 - PK-Erstattung von der Diakonie n.stb.</t>
  </si>
  <si>
    <t>433240 - PK-Erstattungen v. anderen selbst.Einr. N.stb.</t>
  </si>
  <si>
    <t>434040 - PK-Erstattungen v.Sonst. kirchl.Bereich n.stb.</t>
  </si>
  <si>
    <t>435140 - PK-Erstattung v Dritten n.stb.</t>
  </si>
  <si>
    <t>436000 - Ersatz von Mitarbeitenden</t>
  </si>
  <si>
    <t>441110 - Kirchenlohnsteuer</t>
  </si>
  <si>
    <t>441120 - Kircheneinkommenssteuer</t>
  </si>
  <si>
    <t>441130 - Kirchensteuer auf KapErtrSt.</t>
  </si>
  <si>
    <t>441140 - Ertr. KiSt. der Soldaten</t>
  </si>
  <si>
    <t>441200 - Kirchensteuer (Clearing)</t>
  </si>
  <si>
    <t>441300 - Kirchensteuer einh. Pauschst.</t>
  </si>
  <si>
    <t>449000 - Sonstige Kirchensteuer</t>
  </si>
  <si>
    <t>451100 - Finanzausgleichsleist. EKHN</t>
  </si>
  <si>
    <t>451200 - Allgemeine Zuw.u. Umlagen EKHN</t>
  </si>
  <si>
    <t>451210 - Zuweisung der Landeskirche</t>
  </si>
  <si>
    <t>451290 - Sonstige Zuweisungen u.Umlagen</t>
  </si>
  <si>
    <t>451300 - Zweckgeb.Zuw.u.Uml. EKHN</t>
  </si>
  <si>
    <t>451310 - Zweckgeb. Zuw. Landeskirche</t>
  </si>
  <si>
    <t>451320 - Zweckgeb.Zuw.v.Dek.u.Gem.Verb.</t>
  </si>
  <si>
    <t>451330 - Zweckgeb.Zuw.Familienbudget</t>
  </si>
  <si>
    <t>451390 - Sonst.zweckgeb.Zuw. u.Umlagen</t>
  </si>
  <si>
    <t>452100 - Erträge F.-ausgl.innerh. EKD</t>
  </si>
  <si>
    <t>452200 - Zuw.u.Umlagen innerh. EKD</t>
  </si>
  <si>
    <t>452300 - Zweckgeb.Zuw.u.Uml. innerh.EKD</t>
  </si>
  <si>
    <t>453100 - Zuweisungen von der Diakonie</t>
  </si>
  <si>
    <t>453900 - Zuw.v.and.selbst.Einrichtungen</t>
  </si>
  <si>
    <t>454000 - Zuw.v.Sonst. im kirchl.Bereich</t>
  </si>
  <si>
    <t>471100 - Zuschüsse für BUFDI</t>
  </si>
  <si>
    <t>471900 - Sonstige Zuschüsse vom Bund</t>
  </si>
  <si>
    <t>472100 - Zuschüsse von Ländern</t>
  </si>
  <si>
    <t>472200 - Leistungen v.staatl.Baulasttr.</t>
  </si>
  <si>
    <t>472300 - Patronatsleistungen v. Ländern</t>
  </si>
  <si>
    <t>472900 - Sonstige Zuschüsse von Ländern</t>
  </si>
  <si>
    <t>473000 - Zuschüsse v.Gemeindeverbänden</t>
  </si>
  <si>
    <t>474100 - Leistungen v.komm. Baulasttr.</t>
  </si>
  <si>
    <t>474200 - Patronatsleistungen v Kommunen</t>
  </si>
  <si>
    <t>474900 - Sonstige Zuschüsse v. Kommunen</t>
  </si>
  <si>
    <t>475000 - Zusch. v.sonst. jur.P.d.ö. R.</t>
  </si>
  <si>
    <t>476000 - Staatsleistungen</t>
  </si>
  <si>
    <t>479100 - Leistungen v.sonst.Baulasttr.</t>
  </si>
  <si>
    <t>479200 - Sonstige Patronatsleistungen</t>
  </si>
  <si>
    <t>479900 - Übrige sonstige Zuschüsse</t>
  </si>
  <si>
    <t>481100 - Erträge aus zweckg. Kollekten</t>
  </si>
  <si>
    <t>481200 - Erträge aus n.-zweckg. Kollek.</t>
  </si>
  <si>
    <t>482200 - Zweckgebundene Spenden</t>
  </si>
  <si>
    <t>482300 - Nicht zweckgebundene Spenden</t>
  </si>
  <si>
    <t>482900 - Sonstige Spenden</t>
  </si>
  <si>
    <t>483000 - Schenkungen,Erbsch.,Vermächtn.</t>
  </si>
  <si>
    <t>483100 - N. zweckg. Vermächtnisse etc.</t>
  </si>
  <si>
    <t>483200 - Sonstige Vermächtnisse</t>
  </si>
  <si>
    <t>483300 - Zweckgeb. Erträge Diakonie</t>
  </si>
  <si>
    <t>484000 - Erträge aus Bußgeldern</t>
  </si>
  <si>
    <t>491000 - BV unfert. Erzeugn./Leistungen</t>
  </si>
  <si>
    <t>492000 - Aktivierte Eigenleistungen</t>
  </si>
  <si>
    <t>511000 - Ertr.Abgang Anlagevermögen</t>
  </si>
  <si>
    <t>531130 - Erstattungen f.Schönheitsrep.</t>
  </si>
  <si>
    <t>531200 - Erstattungen priv.Telefongeb.</t>
  </si>
  <si>
    <t>531300 - Erstattungen für Reisekosten</t>
  </si>
  <si>
    <t>531430 - Erst. Versorgungsbeiträge</t>
  </si>
  <si>
    <t>531440 - Erst. aus Gehaltsüberzahlungen</t>
  </si>
  <si>
    <t>531450 - EIGENANTEIL BEIHILFE</t>
  </si>
  <si>
    <t>531940 - Sonstige Erstattungen n.stb.</t>
  </si>
  <si>
    <t>532000 - Leistungen v.selbstst. VE</t>
  </si>
  <si>
    <t>534000 - Erträge aus Mitgliedsbeiträgen</t>
  </si>
  <si>
    <t>535000 - Erträge aus Steuererstattungen</t>
  </si>
  <si>
    <t>537000 - Erträge aus Schadensersatzl.</t>
  </si>
  <si>
    <t>537100 - WEITERBER. BANKGEB.</t>
  </si>
  <si>
    <t>538040 - Periodenfr. Erträge n.stb.</t>
  </si>
  <si>
    <t>539100 - Ertr. Auflösung von Wertber.</t>
  </si>
  <si>
    <t>539940 - Sonst. Ordentl. Erträge n.stb.</t>
  </si>
  <si>
    <t>592000 - Ertr. Zuschr. Grundst. u. Geb.</t>
  </si>
  <si>
    <t>599100 - SÄUMNISZUSCHLÄGE</t>
  </si>
  <si>
    <t>599200 - MAHNGEBÜHREN</t>
  </si>
  <si>
    <t>599940 - Sonst. ao. Erträge n.stb.</t>
  </si>
  <si>
    <t>Prozent19</t>
  </si>
  <si>
    <t>Prozent0</t>
  </si>
  <si>
    <t>Prozent7</t>
  </si>
  <si>
    <t>nicht_steuerbar</t>
  </si>
  <si>
    <t>Abrechnungsobjekt</t>
  </si>
  <si>
    <t>Bitte Anzahl Tage eintragen</t>
  </si>
  <si>
    <t>Leistungzeitraum</t>
  </si>
  <si>
    <t>Bitte eintragen (Vor- und Nachname)</t>
  </si>
  <si>
    <t>Formel Zusammenfassung</t>
  </si>
  <si>
    <t>Steuerliche Einschätzung</t>
  </si>
  <si>
    <t>Zusammenfassen wenn möglich</t>
  </si>
  <si>
    <t>SaKo</t>
  </si>
  <si>
    <t>Text</t>
  </si>
  <si>
    <t>Nummer</t>
  </si>
  <si>
    <t>Bei Zusammenfassung</t>
  </si>
  <si>
    <t>Anzahl</t>
  </si>
  <si>
    <t xml:space="preserve">Bearbeiter*in </t>
  </si>
  <si>
    <r>
      <t xml:space="preserve">Postenkennung </t>
    </r>
    <r>
      <rPr>
        <b/>
        <sz val="9"/>
        <color theme="1" tint="0.249977111117893"/>
        <rFont val="Calibri"/>
        <family val="2"/>
        <scheme val="minor"/>
      </rPr>
      <t>(automatische Übernahme)</t>
    </r>
  </si>
  <si>
    <t>Name / Firma
oder Partner-Nr.:</t>
  </si>
  <si>
    <t xml:space="preserve">Buchungsblatt </t>
  </si>
  <si>
    <t>Ursprungsversion</t>
  </si>
  <si>
    <t>Ust</t>
  </si>
  <si>
    <t>n.stb.</t>
  </si>
  <si>
    <t>zu_klären</t>
  </si>
  <si>
    <t>zu klären</t>
  </si>
  <si>
    <t>Liste Steuersätze Buchungsblatt</t>
  </si>
  <si>
    <t>Steuersatz</t>
  </si>
  <si>
    <t>Konten</t>
  </si>
  <si>
    <t>Spalten werden ausgeblendet</t>
  </si>
  <si>
    <t>dropdown, bitte entsprechend auswählen</t>
  </si>
  <si>
    <t>Rechtsträger-Nr.</t>
  </si>
  <si>
    <t>Name Rechnungsempfänger*in</t>
  </si>
  <si>
    <t>Bitte eintragen (Name Einrichtung oder Vor- und Nachname)</t>
  </si>
  <si>
    <t>Anschrift Rechnungsempfänger*in</t>
  </si>
  <si>
    <t>PLZ und Ort Rechnungsempfänger*in</t>
  </si>
  <si>
    <t>Rechnungsangaben zur automatischen Befüllung</t>
  </si>
  <si>
    <r>
      <t xml:space="preserve"> </t>
    </r>
    <r>
      <rPr>
        <sz val="10"/>
        <color rgb="FFC00000"/>
        <rFont val="Calibri"/>
        <family val="2"/>
        <scheme val="minor"/>
      </rPr>
      <t>(werden ins Rechnungsformular bzw. ins Buchungsblatt übertragen)</t>
    </r>
  </si>
  <si>
    <r>
      <t xml:space="preserve">Buchungstext </t>
    </r>
    <r>
      <rPr>
        <sz val="11"/>
        <color theme="1" tint="0.249977111117893"/>
        <rFont val="Calibri"/>
        <family val="2"/>
        <scheme val="minor"/>
      </rPr>
      <t>(max 30 Zeichen)</t>
    </r>
  </si>
  <si>
    <r>
      <t>Musterallee 44 -</t>
    </r>
    <r>
      <rPr>
        <sz val="10"/>
        <color theme="1"/>
        <rFont val="Calibri"/>
        <family val="2"/>
      </rPr>
      <t xml:space="preserve"> 66666 Musterhausen</t>
    </r>
  </si>
  <si>
    <r>
      <t xml:space="preserve">Tel: 06666-99999 </t>
    </r>
    <r>
      <rPr>
        <sz val="10"/>
        <color theme="1"/>
        <rFont val="Calibri"/>
        <family val="2"/>
      </rPr>
      <t>| Fax: 06666-88888</t>
    </r>
  </si>
  <si>
    <t>Mail: kirchengemeinde.musterhausen@ekhn.de</t>
  </si>
  <si>
    <t>Web: kgm.musterhausen.ekhn.de</t>
  </si>
  <si>
    <t>Philipp Sauder</t>
  </si>
  <si>
    <t>erstellt von</t>
  </si>
  <si>
    <t>RT-Nr. Dekanat</t>
  </si>
  <si>
    <t>Dekanatszuordnung</t>
  </si>
  <si>
    <t>Rheinhessen</t>
  </si>
  <si>
    <t>Ev. RVV Rheinhessen</t>
  </si>
  <si>
    <t>Position</t>
  </si>
  <si>
    <t>Bruttobetrag</t>
  </si>
  <si>
    <t>Eindeutige Bestimmung der Position doppelter Werte</t>
  </si>
  <si>
    <t>Liste unter Eliminierung doppelter Werte</t>
  </si>
  <si>
    <t>Erste Sortierung</t>
  </si>
  <si>
    <t>Einzelpreis</t>
  </si>
  <si>
    <t>Summe</t>
  </si>
  <si>
    <t>Verbuchung mit Bruttowert, UST wird nicht verbucht</t>
  </si>
  <si>
    <t>531123 - Erstattungen für Nebenk. 7%</t>
  </si>
  <si>
    <t>435310 - Erst. Versorgungsbeiträge 19%</t>
  </si>
  <si>
    <t>531112 - Erstattungen für Heizk. 19%</t>
  </si>
  <si>
    <t>531122 - Erstattungen für Nebenk. 19%</t>
  </si>
  <si>
    <t>531131 - Erstatt. f.Schönheitsrep. 19%</t>
  </si>
  <si>
    <t>531411 - Erst. Personalk.(intern) 19%</t>
  </si>
  <si>
    <t>531421 - Erst. Personalk.(extern) 19%</t>
  </si>
  <si>
    <t>531431 - Erst. Versorgungsbeiträge 19%</t>
  </si>
  <si>
    <t>401300 - Sonstige Entgelte Verpflegung</t>
  </si>
  <si>
    <t>414300 - Miete steuerfrei 0%</t>
  </si>
  <si>
    <t>421900 - Sonstige Mieterträge</t>
  </si>
  <si>
    <t>435230 - Erst. Versorgungsbeiträge 0%</t>
  </si>
  <si>
    <t>531111 - Erstattungen für Heizk. 0%</t>
  </si>
  <si>
    <t>531121 - Erstattungen für Nebenk. 0%</t>
  </si>
  <si>
    <t>Ev. Kirchengemeinde Albig</t>
  </si>
  <si>
    <t>Dekanat Alzey-Wöllstein</t>
  </si>
  <si>
    <t>Ev. Kirchengemeinde Alzey</t>
  </si>
  <si>
    <t>Ev. Kirchengemeinde Armsheim</t>
  </si>
  <si>
    <t>Ev. Kirchengemeinde Bechenheim</t>
  </si>
  <si>
    <t>Ev. Kirchengemeinde Bechtolsheim</t>
  </si>
  <si>
    <t>Ev. Kirchengemeinde Bermersheim v.d.H.</t>
  </si>
  <si>
    <t>Ev. Kirchengemeinde Biebelnheim</t>
  </si>
  <si>
    <t>Ev. Kirchengemeinde Hochborn</t>
  </si>
  <si>
    <t>Ev. Kirchengemeinde Bornheim</t>
  </si>
  <si>
    <t>Ev. Kirchengemeinde Dautenheim</t>
  </si>
  <si>
    <t>Ev. Kirchengemeinde Ensheim</t>
  </si>
  <si>
    <t>Ev. Kirchengemeinde Dintesheim-Eppelsheim</t>
  </si>
  <si>
    <t>Ev. Kirchengemeinde Flomborn</t>
  </si>
  <si>
    <t>Ev. Kirchengemeinde Flonheim-Uffhofen</t>
  </si>
  <si>
    <t>Ev. Kirchengemeinde Framersheim</t>
  </si>
  <si>
    <t>Ev. Barbaragemeinde Gau-Heppenheim</t>
  </si>
  <si>
    <t>Ev. Kirchengemeinde Gau-Köngernheim</t>
  </si>
  <si>
    <t>Ev. Kirchengemeinde Gau-Odernheim</t>
  </si>
  <si>
    <t>Ev. Kirchengemeinde Gundersheim</t>
  </si>
  <si>
    <t>Ev. Kirchengemeinde Hangen-Weisheim</t>
  </si>
  <si>
    <t>Ev. Kirchengemeinde Heimersheim</t>
  </si>
  <si>
    <t>Ev. Kirchengemeinde Kettenheimer Grund</t>
  </si>
  <si>
    <t>Ev. Kirchengemeinde Lonsheim</t>
  </si>
  <si>
    <t>Ev. Kirchengemeinde Nieder-Wiesen</t>
  </si>
  <si>
    <t>Ev. Kirchengemeinde Ober-Flörsheim</t>
  </si>
  <si>
    <t>Ev. Kirchengemeinde Offenheim</t>
  </si>
  <si>
    <t>Ev. Kirchengemeinde Spiesheim</t>
  </si>
  <si>
    <t>Ev. Kirchengemeinde Weinheim</t>
  </si>
  <si>
    <t>Ev. Kirchengemeinde Erbes-Büdesheim</t>
  </si>
  <si>
    <t>Ev. Kirchengemeinde Nack</t>
  </si>
  <si>
    <t>Ev. Kirchengemeinde Schornsheim</t>
  </si>
  <si>
    <t>Ev. Kirchengemeinde Udenheim</t>
  </si>
  <si>
    <t>Ev. Dekanat Alzey-Wöllstein</t>
  </si>
  <si>
    <t>Ev. Dekanat Ingelheim und Oppenheim</t>
  </si>
  <si>
    <t>Dekanat Ingelheim-Oppenheim</t>
  </si>
  <si>
    <t>Ev. Kirchengemeinde Appenheim</t>
  </si>
  <si>
    <t>Ev. Kirchengemeinde Bingen, Johanneskirchengemeinde</t>
  </si>
  <si>
    <t>Ev. Kirchengemeinde Bingen, Christuskirchengemeinde</t>
  </si>
  <si>
    <t>Ev. Kirchengemeinde Bubenheim</t>
  </si>
  <si>
    <t>Ev. Kirchengemeinde Essenheim/Mauritiusgem.</t>
  </si>
  <si>
    <t>Ev. Kirchengemeinde Engelstadt</t>
  </si>
  <si>
    <t>Ev. Kirchengemeinde Gau-Algesheim</t>
  </si>
  <si>
    <t>Ev. Kirchengemeinde Gensingen-Grolsheim</t>
  </si>
  <si>
    <t>Ev. Kirchengemeinde Groß-Winternheim/ Schwabenheim</t>
  </si>
  <si>
    <t>Ev. Kirchengemeinde Heidesheim</t>
  </si>
  <si>
    <t>Ev. Kirchengemeinde Horrweiler/ Aspisheim</t>
  </si>
  <si>
    <t>Ev. Kirchengemeinde Ingelheim,Burgkirchengemeinde</t>
  </si>
  <si>
    <t>Ev. Kirchengemeinde Ingelheim, Saalkirchengemeinde</t>
  </si>
  <si>
    <t>Ev. Kirchengemeinde Ingelheim, Versöhnungsgemeinde</t>
  </si>
  <si>
    <t>Ev. Kirchengemeinde Jugenheim</t>
  </si>
  <si>
    <t>Ev. Kirchengemeinde Nieder-Hilbersheim</t>
  </si>
  <si>
    <t>Ev. Kirchengemeinde Partenheim</t>
  </si>
  <si>
    <t>Ev. Kirchengemeinde Stadecken-Elsheim</t>
  </si>
  <si>
    <t>Ev. Kirchengemeinde Vendersheim</t>
  </si>
  <si>
    <t>Ev. Kirchengemeinde Wackernheim</t>
  </si>
  <si>
    <t>Ev. Kirchengemeinde Ingelheim, Gustav-Adolf-Kircheng.</t>
  </si>
  <si>
    <t>Ev. Kirchengemeinde Ober-Hilbersheim</t>
  </si>
  <si>
    <t>Ev. Kirchengemeinde Nieder-Olm</t>
  </si>
  <si>
    <t xml:space="preserve">Ev. Kirchengemeinde Budenheim </t>
  </si>
  <si>
    <t>Dekanat Mainz</t>
  </si>
  <si>
    <t>Ev. Auferstehungsgemeinde Mainz</t>
  </si>
  <si>
    <t>Ev. Kirchengemeinde Mainz-Innenstadt</t>
  </si>
  <si>
    <t>Ev. Kirchengemeinde in der Oberstadt Mainz</t>
  </si>
  <si>
    <t>Ev. Kirchengemeinde Ober-Olm, Klein-Winternheim</t>
  </si>
  <si>
    <t>Ev. Weinberg-Gemeinde Ebersheim und Zornheim</t>
  </si>
  <si>
    <t>AG Jugen in Rheinhessen</t>
  </si>
  <si>
    <t>Ev. Dekanat Mainz</t>
  </si>
  <si>
    <t>Ev. Kirchengemeinde Bodenheim-Nackenheim</t>
  </si>
  <si>
    <t>Ev. Kirchengemeinde Dalheim</t>
  </si>
  <si>
    <t>Ev. Kirchengemeinde Dexheim</t>
  </si>
  <si>
    <t>Ev. Kirchengemeinde Dienheim</t>
  </si>
  <si>
    <t>Ev. Kirchengemeinde Dolgesheim</t>
  </si>
  <si>
    <t>Ev. Kirchengemeinde Eimsheim</t>
  </si>
  <si>
    <t>Ev. Kirchengemeinde Guntersblum</t>
  </si>
  <si>
    <t>Ev. Kirchengemeinde Harxheim</t>
  </si>
  <si>
    <t>Ev. Kirchengemeinde Mommenheim-Lörzweiler</t>
  </si>
  <si>
    <t>Ev. Kirchengemeinde Nieder-Saulheim</t>
  </si>
  <si>
    <t>Ev. Kirchengemeinde Nierstein</t>
  </si>
  <si>
    <t>Ev. Kirchengemeinde Ober-Saulheim</t>
  </si>
  <si>
    <t>Ev. Kirchengemeinde Oppenheim</t>
  </si>
  <si>
    <t>Ev. Kirchengemeinde Schwabsburg</t>
  </si>
  <si>
    <t>Ev. Kirchengemeinde Selzen</t>
  </si>
  <si>
    <t>Ev. Kirchengemeinde Uelversheim</t>
  </si>
  <si>
    <t>Ev. Kirchengemeinde Undenheim-Friesenheim</t>
  </si>
  <si>
    <t>Ev. Kirchengemeinde Weinolsheim</t>
  </si>
  <si>
    <t>Ev. Kirchengemeinde Biebelsheim</t>
  </si>
  <si>
    <t>Ev. Kirchengemeinde Bosenheim</t>
  </si>
  <si>
    <t>Ev. Kirchengemeinde Eckelsheim</t>
  </si>
  <si>
    <t>Ev. Kirchengemeinde Eichelberg</t>
  </si>
  <si>
    <t>Ev. Kirchengemeinde Gau-Weinheim</t>
  </si>
  <si>
    <t>Ev. Kirchengemeinde Gumbsheim</t>
  </si>
  <si>
    <t>Ev. Kirchengemeinde Ippesheim</t>
  </si>
  <si>
    <t>Ev. Kirchengemeinde Pfaffen-Schwabenheim</t>
  </si>
  <si>
    <t>Ev. Kirchengemeinde Planig</t>
  </si>
  <si>
    <t>Ev. Kirchengemeinde Rommersheim</t>
  </si>
  <si>
    <t>Ev. Kirchengemeinde Siefersheim</t>
  </si>
  <si>
    <t>Ev. Kirchengemeinde Sprendlingen</t>
  </si>
  <si>
    <t>Ev. Kirchengemeinde St. Johann/Wolfsheim</t>
  </si>
  <si>
    <t>Ev. Kirchengemeinde Stein-Bockenheim</t>
  </si>
  <si>
    <t>Ev. Kirchengemeinde Volxheim</t>
  </si>
  <si>
    <t>Ev. Kirchengemeinde Wallertheim/ Gau-Bickelheim</t>
  </si>
  <si>
    <t>Ev. Kirchengemeinde Wendelsheim</t>
  </si>
  <si>
    <t>Ev. Kirchengemeinde Wöllstein</t>
  </si>
  <si>
    <t>Ev. Kirchengemeinde Wörrstadt</t>
  </si>
  <si>
    <t>Ev. Kirchengemeinde Wonsheim</t>
  </si>
  <si>
    <t>Ev. Kirchengemeinde Zotzenheim/ Welgesheim</t>
  </si>
  <si>
    <t>Ev. Kirchengemeinde Hackenheim</t>
  </si>
  <si>
    <t>Ev. Kirchengemeinde Badenheim/ Pleitersheim</t>
  </si>
  <si>
    <t>Ev. Kirchengemeinde Alsheim</t>
  </si>
  <si>
    <t>Dekanat Worms-Wonnegau</t>
  </si>
  <si>
    <t>Ev. Kirchengemeinde Bechtheim</t>
  </si>
  <si>
    <t>Ev. Kirchengemeinde Bermersheim-Dalsheim</t>
  </si>
  <si>
    <t>Ev. Kirchengemeinde Dittelsheim-Heßloch/ Frettenheim</t>
  </si>
  <si>
    <t>Ev. Kirchengemeinde Dorn-Dürkheim/ Hillesheim Fr. Manz</t>
  </si>
  <si>
    <t>Ev. Kirchengemeinde Eich</t>
  </si>
  <si>
    <t>Ev. Kirchengemeinde Gimbsheim</t>
  </si>
  <si>
    <t>Ev. Kirchengemeinde Hamm und Ibersheim</t>
  </si>
  <si>
    <t>Ev. Kirchengemeinde Hohen-Sülzen</t>
  </si>
  <si>
    <t>Ev. Kirchengemeinde Kriegsheim</t>
  </si>
  <si>
    <t>Ev. Kirchengemeinde Mettenheim</t>
  </si>
  <si>
    <t>Ev. Kirchengemeinde Monsheim</t>
  </si>
  <si>
    <t>Ev. Kirchengemeinde Monzernheim</t>
  </si>
  <si>
    <t>Ev. Kirchengemeinde Mörstadt</t>
  </si>
  <si>
    <t>Ev. Kirchengemeinde Mölsheim-Nieder-Flörsheim</t>
  </si>
  <si>
    <t>Ev. Kirchengemeinde Osthofen</t>
  </si>
  <si>
    <t>Ev. Kirchengemeinde Rheindürkheim</t>
  </si>
  <si>
    <t>Ev. Kirchengemeinde Wachenheim</t>
  </si>
  <si>
    <t>Ev. Kirchengemeinde Westhofen</t>
  </si>
  <si>
    <t>Ev. Kirchengemeinde Pfeddersheim</t>
  </si>
  <si>
    <t>Ev. Kirchengemeinde Worms-Heppenheim</t>
  </si>
  <si>
    <t>Ev. Kirchengemeinde Offstein</t>
  </si>
  <si>
    <t>Ev. Kirchengemeinde Worms-Herrnsheim</t>
  </si>
  <si>
    <t>Ev. Kirchengemeinde Worms-Hochheim</t>
  </si>
  <si>
    <t>Ev. Kirchengemeinde Worms-Horchheim</t>
  </si>
  <si>
    <t>Ev. Kirchengemeinde Worms-Leiselheim</t>
  </si>
  <si>
    <t>Ev. Kirchengemeinde Worms-Neuhausen-Versöhnungsg.</t>
  </si>
  <si>
    <t>Ev. Kirchengemeinde Worms-Pfiffligheim</t>
  </si>
  <si>
    <t>Ev. Kirchengemeinde Worms Luthergemeinde</t>
  </si>
  <si>
    <t>Ev. Kirchengemeinde Worms-Innenstadt</t>
  </si>
  <si>
    <t>Ev. Dekanat Worms-Wonnegau</t>
  </si>
  <si>
    <t>Ev. Gesamtgemeinde Worms</t>
  </si>
  <si>
    <t>Stiftung "Auf dem Weg"</t>
  </si>
  <si>
    <t>Stiftung "Herztat"</t>
  </si>
  <si>
    <t>Stiftung "Brote und Fische"</t>
  </si>
  <si>
    <t>Emmausgemeinde-Stiftung</t>
  </si>
  <si>
    <t>Ev. Rebenstiftung Mainz</t>
  </si>
  <si>
    <t>Ev. Philippus-Stiftung</t>
  </si>
  <si>
    <t>Stiftung "Evangelisches Mainz"</t>
  </si>
  <si>
    <t>Stiftung Friedenskirche</t>
  </si>
  <si>
    <t>Adolf-Goertz-Stiftung</t>
  </si>
  <si>
    <t>Stiftung Karin Eckert und Paula Ludwig</t>
  </si>
  <si>
    <t>Kirchenstiftung Guntersblum</t>
  </si>
  <si>
    <t>Stiftung "Mertensstiftung"</t>
  </si>
  <si>
    <t>Zweckverband Diakonie Ingelheim</t>
  </si>
  <si>
    <t>AG Jugend in Rheinhessen</t>
  </si>
  <si>
    <t>Zweckverb. Ev. Sozialst. Nierstein</t>
  </si>
  <si>
    <t>Rheinhessischer Baufonds II</t>
  </si>
  <si>
    <t>Starenkasten-KGM Hochheim</t>
  </si>
  <si>
    <t>BGA RV-RV Rheinhessen</t>
  </si>
  <si>
    <t>Geschäftsstelle Dekanat Alzey-Wöllstein</t>
  </si>
  <si>
    <t>Ev. KiTa Albig</t>
  </si>
  <si>
    <t>Ev. KiTa Alzey, MNW</t>
  </si>
  <si>
    <t>Ev. KiTa Alzey, Am Wall</t>
  </si>
  <si>
    <t>Ev. KiTa Bechtolsheim</t>
  </si>
  <si>
    <t>Ev. KiTa Gundersheim</t>
  </si>
  <si>
    <t>Ev. KiTa Ober-Flörsheim</t>
  </si>
  <si>
    <t>Ev. KiTa Offenheim</t>
  </si>
  <si>
    <t>Ev. KiTa Weinheim</t>
  </si>
  <si>
    <t>Ev. KiTa Gimbsheim</t>
  </si>
  <si>
    <t>Ev. KiTa Badenheim</t>
  </si>
  <si>
    <t>Ev. KiTa Rheindürkheim</t>
  </si>
  <si>
    <t>Ev. KiTa Bornheim</t>
  </si>
  <si>
    <t>Ev. KiTa Alsheim</t>
  </si>
  <si>
    <t>Ev. KiTa Piccolino, Schornsheim</t>
  </si>
  <si>
    <t>Ev. KiTa Sonnenschein Wonsheim</t>
  </si>
  <si>
    <t>Ev. KiTa Hohen-Sülzen</t>
  </si>
  <si>
    <t>Ev. KiTa Monsheim</t>
  </si>
  <si>
    <t>Geschäftsstelle GüT Dekanat Ingelheim-Oppenheim</t>
  </si>
  <si>
    <t>Ev. KiTa Johannesgemeinde Bingen</t>
  </si>
  <si>
    <t>Ev. KiTa Christusgemeinde Bingen</t>
  </si>
  <si>
    <t>Ev. KiTa Gensingen-Grolsheim</t>
  </si>
  <si>
    <t>Ev. KiTa Saalkirchengemeinde Ingelheim</t>
  </si>
  <si>
    <t>Ev. KiTa Martin-Luther-King, Jugenheim</t>
  </si>
  <si>
    <t>Ev. KiTa Nieder-Olm</t>
  </si>
  <si>
    <t>Ev. KiTa Nierstein</t>
  </si>
  <si>
    <t>Ev. KiTa Uelversheim</t>
  </si>
  <si>
    <t>Ev. KiTa Vers.Kirche Ingelheim</t>
  </si>
  <si>
    <t>Ev. KiTa Dexheim</t>
  </si>
  <si>
    <t>Ev. KiTa Sprendlingen</t>
  </si>
  <si>
    <t>Ev. KiTa Partenheim</t>
  </si>
  <si>
    <t>Ev. KiTa Auferstehungsgemeinde Mainz</t>
  </si>
  <si>
    <t>Ev. KiTa Budenzauber</t>
  </si>
  <si>
    <t>Ev. KiTa Altmünster</t>
  </si>
  <si>
    <t>Kollektenkasse Mommenheim</t>
  </si>
  <si>
    <t>Kollektenkasse Lörzweiler</t>
  </si>
  <si>
    <t>Ev. Kirchengemeinde Oppenheim, Katharinenkirche</t>
  </si>
  <si>
    <t>Ev. Kirchengemeinde Oppenheim, Altenzentrum</t>
  </si>
  <si>
    <t>Kollektenkasse Undenheim</t>
  </si>
  <si>
    <t>Ev. KiTa Oppenheim</t>
  </si>
  <si>
    <t>Kollektenkasse Friesenheim</t>
  </si>
  <si>
    <t>Ev. KiTa Worms-Dreifaltigkeitsgemeinde</t>
  </si>
  <si>
    <t>Geschäftsstelle GüT Dekanat Worms-Wonnegau</t>
  </si>
  <si>
    <t>Ev. KiTa Dreifaltigkeit</t>
  </si>
  <si>
    <t>Ev. KiTa Anne-Frank Friedrichsgemeinde</t>
  </si>
  <si>
    <t>Ev. KiTa Sonnenblumen, Heppenheim</t>
  </si>
  <si>
    <t>Ev. KiTa Herrnsheim</t>
  </si>
  <si>
    <t>Ev. KiTa Hochheim</t>
  </si>
  <si>
    <t>Ev. KiTa Regenbogen, Horchheim</t>
  </si>
  <si>
    <t>Ev. KiTa Bartimäus, Leiselheim</t>
  </si>
  <si>
    <t>Ev. KiTa Lukas, Lukasgemeinde</t>
  </si>
  <si>
    <t>Ev. KiTa Oberlinhaus, Luthergemeinde</t>
  </si>
  <si>
    <t>Ev. KiTa Käthe-Luther-Haus, Luthergemeinde</t>
  </si>
  <si>
    <t>Ev. KiTa Magnus, Magnus-u. Matthäusgmd.</t>
  </si>
  <si>
    <t>Ev. KiTa Matthäus, Magnus-u. Matthäusgmd.</t>
  </si>
  <si>
    <t>Ev. KiTa Kleines-Ich, Neuhausen</t>
  </si>
  <si>
    <t>Ev. KiTa Abrahams Kinder, Neuhausen</t>
  </si>
  <si>
    <t>Ev. KiTa Am Engelsberg, Offstein</t>
  </si>
  <si>
    <t>Ev. KiTa Pfiffligheim</t>
  </si>
  <si>
    <t>Ev. KiTa Mölsheim</t>
  </si>
  <si>
    <t>Ev. KiTa Wachenheim</t>
  </si>
  <si>
    <t>Ev. KiTa Dalsheim</t>
  </si>
  <si>
    <t>Ev. KiTa Sterngasse, Friedrichsgemeinde</t>
  </si>
  <si>
    <t>Ev. KiTa Pfeddersheim</t>
  </si>
  <si>
    <t>Ev. KiTa Osthofen</t>
  </si>
  <si>
    <t>Ev. KiTa Seebachfrösche, Westhofen</t>
  </si>
  <si>
    <t>Ev. KiTa Regenbogen, Eich</t>
  </si>
  <si>
    <t>Ev. KiTa Morgenstern Mörstadt</t>
  </si>
  <si>
    <t>Gesamtgemeinde Worms</t>
  </si>
  <si>
    <t>Ev. KiTa Leiselheim / Sonderteil (GG Worms)</t>
  </si>
  <si>
    <t>Ev. Kirchengemeinde Mainz-Finthen</t>
  </si>
  <si>
    <t>Ev. Kirchengemeinde Mainz-Hechtsheim</t>
  </si>
  <si>
    <t>Ev. Kirchengemeinde Mainz-Laubenheim</t>
  </si>
  <si>
    <t>Ev. Kirchengemeinde Mainz Philippusgemeinde Bretzenh.</t>
  </si>
  <si>
    <t>Ev. Kirchengemeinde Mainz-Marienborn</t>
  </si>
  <si>
    <t>Ev. Kirchengemeinde Mainz-Gonsenheim</t>
  </si>
  <si>
    <t>Ev. Kirchengemeinde Mainz Maria-Magdalenakircheng.
Drais-Lerchenberg</t>
  </si>
  <si>
    <t>Ev. Kirchengemeinde Mainz-Mombach</t>
  </si>
  <si>
    <t>Ev. Kirchengemeinde Mainz-Weisenau</t>
  </si>
  <si>
    <t>Stiftung Ev. Kgm. Mainz-Gonsenheim</t>
  </si>
  <si>
    <t>Ev. KiTa Melanchthon Mainz</t>
  </si>
  <si>
    <t>Ev. KiTa Luther Mainz</t>
  </si>
  <si>
    <t>Ev. KiTa Mainz-Hechtsheim</t>
  </si>
  <si>
    <t>Ev. KiTa Emmaus Auferstehungsgemeinde Mainz</t>
  </si>
  <si>
    <t>Ev. KiTa Kunterbunt d. Christuskirchengem. Mainz</t>
  </si>
  <si>
    <t>Ev. KiTa Mainz-Gonsenheim</t>
  </si>
  <si>
    <t>Ev. KiTa Maria-Magdalena Mainz</t>
  </si>
  <si>
    <t>Ev. KiTa Mainz-Mombach</t>
  </si>
  <si>
    <t>Ev. Kinderhaus Paulusgemeinde Mainz</t>
  </si>
  <si>
    <t>Ev. KiTa Arche Noah Mainz-Weisenau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</si>
</sst>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_-* #,##0.00\ [$€-407]_-;\-* #,##0.00\ [$€-407]_-;_-* &quot;-&quot;??\ [$€-407]_-;_-@_-"/>
    <numFmt numFmtId="165" formatCode="dd/mm/yy;@"/>
    <numFmt numFmtId="166" formatCode="0000"/>
    <numFmt numFmtId="167" formatCode="0#####"/>
  </numFmts>
  <fonts count="44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22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i/>
      <sz val="15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8.5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Arial Unicode MS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theme="0" tint="-0.24994659260841701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2" borderId="1" applyNumberFormat="0" applyAlignment="0" applyProtection="0"/>
    <xf numFmtId="0" fontId="4" fillId="3" borderId="1" applyNumberFormat="0" applyAlignment="0" applyProtection="0"/>
    <xf numFmtId="0" fontId="2" fillId="4" borderId="2" applyNumberFormat="0" applyFont="0" applyAlignment="0" applyProtection="0"/>
    <xf numFmtId="0" fontId="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60">
    <xf numFmtId="0" fontId="0" fillId="0" borderId="0" xfId="0"/>
    <xf numFmtId="49" fontId="9" fillId="5" borderId="0" xfId="4" applyNumberFormat="1" applyFont="1" applyFill="1" applyAlignment="1">
      <alignment horizontal="center" vertical="center"/>
    </xf>
    <xf numFmtId="165" fontId="9" fillId="5" borderId="0" xfId="4" applyNumberFormat="1" applyFont="1" applyFill="1" applyAlignment="1">
      <alignment horizontal="center" vertical="center"/>
    </xf>
    <xf numFmtId="0" fontId="9" fillId="5" borderId="0" xfId="4" applyFont="1" applyFill="1" applyAlignment="1">
      <alignment vertical="center"/>
    </xf>
    <xf numFmtId="0" fontId="9" fillId="0" borderId="0" xfId="4" applyFont="1" applyAlignment="1">
      <alignment vertical="center"/>
    </xf>
    <xf numFmtId="49" fontId="10" fillId="0" borderId="0" xfId="4" applyNumberFormat="1" applyFont="1" applyAlignment="1">
      <alignment horizontal="center" vertical="top"/>
    </xf>
    <xf numFmtId="165" fontId="10" fillId="0" borderId="0" xfId="4" applyNumberFormat="1" applyFont="1" applyAlignment="1">
      <alignment horizontal="center" vertical="top"/>
    </xf>
    <xf numFmtId="0" fontId="10" fillId="0" borderId="0" xfId="4" applyFont="1" applyAlignment="1">
      <alignment vertical="top" wrapText="1"/>
    </xf>
    <xf numFmtId="0" fontId="10" fillId="0" borderId="0" xfId="4" applyFont="1" applyAlignment="1">
      <alignment vertical="top"/>
    </xf>
    <xf numFmtId="0" fontId="7" fillId="0" borderId="0" xfId="4" applyFont="1" applyAlignment="1">
      <alignment wrapText="1"/>
    </xf>
    <xf numFmtId="0" fontId="7" fillId="0" borderId="0" xfId="4" applyFont="1"/>
    <xf numFmtId="15" fontId="10" fillId="0" borderId="0" xfId="4" quotePrefix="1" applyNumberFormat="1" applyFont="1" applyAlignment="1">
      <alignment vertical="top" wrapText="1"/>
    </xf>
    <xf numFmtId="0" fontId="10" fillId="0" borderId="0" xfId="4" quotePrefix="1" applyFont="1" applyAlignment="1">
      <alignment vertical="top" wrapText="1"/>
    </xf>
    <xf numFmtId="0" fontId="10" fillId="0" borderId="0" xfId="4" applyFont="1"/>
    <xf numFmtId="49" fontId="10" fillId="0" borderId="0" xfId="4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9" fillId="0" borderId="0" xfId="4" applyNumberFormat="1" applyFont="1" applyBorder="1" applyAlignment="1">
      <alignment horizontal="center" vertical="center"/>
    </xf>
    <xf numFmtId="0" fontId="9" fillId="0" borderId="0" xfId="4" applyNumberFormat="1" applyFont="1" applyBorder="1" applyAlignment="1">
      <alignment vertical="center"/>
    </xf>
    <xf numFmtId="0" fontId="9" fillId="0" borderId="0" xfId="4" applyNumberFormat="1" applyFont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center" vertical="center" wrapText="1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left" vertical="center"/>
    </xf>
    <xf numFmtId="0" fontId="10" fillId="0" borderId="0" xfId="4" applyNumberFormat="1" applyFont="1" applyBorder="1"/>
    <xf numFmtId="0" fontId="10" fillId="0" borderId="0" xfId="4" applyNumberFormat="1" applyFont="1" applyBorder="1" applyAlignment="1">
      <alignment horizontal="center"/>
    </xf>
    <xf numFmtId="0" fontId="10" fillId="0" borderId="0" xfId="4" applyFont="1" applyProtection="1"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10" fillId="0" borderId="0" xfId="4" applyFont="1" applyAlignment="1" applyProtection="1">
      <alignment vertical="center"/>
      <protection hidden="1"/>
    </xf>
    <xf numFmtId="0" fontId="19" fillId="0" borderId="0" xfId="4" applyFont="1" applyAlignment="1" applyProtection="1">
      <alignment vertical="center"/>
      <protection hidden="1"/>
    </xf>
    <xf numFmtId="0" fontId="9" fillId="0" borderId="0" xfId="4" applyFont="1" applyProtection="1">
      <protection hidden="1"/>
    </xf>
    <xf numFmtId="0" fontId="19" fillId="0" borderId="0" xfId="4" applyFont="1" applyFill="1" applyAlignment="1" applyProtection="1">
      <alignment vertical="center"/>
      <protection hidden="1"/>
    </xf>
    <xf numFmtId="0" fontId="20" fillId="0" borderId="0" xfId="4" applyFont="1" applyAlignment="1" applyProtection="1">
      <alignment horizontal="right" vertical="center" indent="1"/>
      <protection hidden="1"/>
    </xf>
    <xf numFmtId="0" fontId="22" fillId="0" borderId="0" xfId="4" applyFont="1" applyAlignment="1" applyProtection="1">
      <alignment vertical="center"/>
      <protection hidden="1"/>
    </xf>
    <xf numFmtId="0" fontId="9" fillId="0" borderId="0" xfId="4" applyFont="1" applyAlignment="1" applyProtection="1">
      <alignment vertical="center"/>
      <protection hidden="1"/>
    </xf>
    <xf numFmtId="0" fontId="23" fillId="0" borderId="0" xfId="4" applyFont="1" applyBorder="1" applyAlignment="1" applyProtection="1">
      <alignment horizontal="right" vertical="center" wrapText="1" indent="1"/>
      <protection hidden="1"/>
    </xf>
    <xf numFmtId="0" fontId="23" fillId="0" borderId="0" xfId="4" applyFont="1" applyBorder="1" applyAlignment="1" applyProtection="1">
      <alignment horizontal="right" vertical="center" indent="1"/>
      <protection hidden="1"/>
    </xf>
    <xf numFmtId="4" fontId="23" fillId="0" borderId="0" xfId="4" applyNumberFormat="1" applyFont="1" applyBorder="1" applyAlignment="1" applyProtection="1">
      <alignment horizontal="right" indent="1"/>
      <protection hidden="1"/>
    </xf>
    <xf numFmtId="49" fontId="13" fillId="0" borderId="0" xfId="4" applyNumberFormat="1" applyFont="1" applyBorder="1" applyAlignment="1" applyProtection="1">
      <alignment horizontal="center" vertical="center"/>
      <protection hidden="1"/>
    </xf>
    <xf numFmtId="4" fontId="23" fillId="0" borderId="0" xfId="4" applyNumberFormat="1" applyFont="1" applyBorder="1" applyAlignment="1" applyProtection="1">
      <alignment vertical="center"/>
      <protection hidden="1"/>
    </xf>
    <xf numFmtId="0" fontId="23" fillId="0" borderId="0" xfId="4" applyFont="1" applyBorder="1" applyAlignment="1" applyProtection="1">
      <alignment horizontal="left" vertical="center" wrapText="1"/>
      <protection hidden="1"/>
    </xf>
    <xf numFmtId="0" fontId="23" fillId="0" borderId="0" xfId="4" applyFont="1" applyBorder="1" applyAlignment="1" applyProtection="1">
      <alignment vertical="center"/>
      <protection hidden="1"/>
    </xf>
    <xf numFmtId="0" fontId="20" fillId="0" borderId="0" xfId="4" applyFont="1" applyBorder="1" applyAlignment="1" applyProtection="1">
      <alignment vertical="center"/>
      <protection hidden="1"/>
    </xf>
    <xf numFmtId="0" fontId="26" fillId="0" borderId="0" xfId="4" applyFont="1" applyBorder="1" applyAlignment="1" applyProtection="1">
      <protection hidden="1"/>
    </xf>
    <xf numFmtId="0" fontId="23" fillId="0" borderId="6" xfId="4" applyFont="1" applyBorder="1" applyAlignment="1" applyProtection="1">
      <alignment horizontal="center" vertical="center"/>
      <protection hidden="1"/>
    </xf>
    <xf numFmtId="0" fontId="13" fillId="0" borderId="0" xfId="4" applyFont="1" applyAlignment="1" applyProtection="1">
      <alignment vertical="center"/>
      <protection hidden="1"/>
    </xf>
    <xf numFmtId="0" fontId="13" fillId="0" borderId="0" xfId="4" applyFont="1" applyAlignment="1" applyProtection="1">
      <alignment horizontal="center" vertical="center"/>
      <protection hidden="1"/>
    </xf>
    <xf numFmtId="49" fontId="13" fillId="0" borderId="9" xfId="4" applyNumberFormat="1" applyFont="1" applyBorder="1" applyAlignment="1" applyProtection="1">
      <alignment horizontal="center" vertical="center"/>
      <protection hidden="1"/>
    </xf>
    <xf numFmtId="0" fontId="9" fillId="0" borderId="0" xfId="4" applyFont="1" applyBorder="1" applyAlignment="1" applyProtection="1">
      <protection hidden="1"/>
    </xf>
    <xf numFmtId="0" fontId="23" fillId="0" borderId="0" xfId="4" applyFont="1" applyBorder="1" applyAlignment="1" applyProtection="1">
      <alignment horizontal="right" wrapText="1"/>
      <protection hidden="1"/>
    </xf>
    <xf numFmtId="0" fontId="9" fillId="0" borderId="0" xfId="4" applyFont="1" applyAlignment="1" applyProtection="1">
      <alignment horizontal="center"/>
      <protection hidden="1"/>
    </xf>
    <xf numFmtId="0" fontId="9" fillId="0" borderId="0" xfId="4" applyFont="1" applyBorder="1" applyAlignment="1" applyProtection="1">
      <alignment horizontal="center"/>
      <protection hidden="1"/>
    </xf>
    <xf numFmtId="49" fontId="13" fillId="0" borderId="0" xfId="4" applyNumberFormat="1" applyFont="1" applyBorder="1" applyAlignment="1" applyProtection="1">
      <alignment horizontal="left" vertical="center" indent="1"/>
      <protection hidden="1"/>
    </xf>
    <xf numFmtId="0" fontId="13" fillId="0" borderId="0" xfId="4" applyFont="1" applyBorder="1" applyAlignment="1" applyProtection="1">
      <alignment vertical="center"/>
      <protection hidden="1"/>
    </xf>
    <xf numFmtId="0" fontId="10" fillId="0" borderId="0" xfId="4" applyFont="1" applyAlignment="1" applyProtection="1">
      <alignment horizontal="center"/>
      <protection hidden="1"/>
    </xf>
    <xf numFmtId="0" fontId="10" fillId="0" borderId="0" xfId="4" applyFont="1" applyAlignment="1" applyProtection="1">
      <alignment horizontal="center" vertical="center"/>
      <protection hidden="1"/>
    </xf>
    <xf numFmtId="0" fontId="0" fillId="0" borderId="0" xfId="0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0" fontId="0" fillId="0" borderId="0" xfId="0" applyFont="1" applyBorder="1" applyAlignment="1" applyProtection="1">
      <alignment vertical="top" wrapText="1"/>
    </xf>
    <xf numFmtId="0" fontId="5" fillId="0" borderId="0" xfId="0" applyFont="1" applyFill="1" applyBorder="1" applyProtection="1"/>
    <xf numFmtId="0" fontId="22" fillId="0" borderId="0" xfId="4" applyFont="1" applyBorder="1" applyAlignment="1" applyProtection="1">
      <alignment horizontal="center"/>
      <protection hidden="1"/>
    </xf>
    <xf numFmtId="0" fontId="22" fillId="0" borderId="0" xfId="4" quotePrefix="1" applyFont="1" applyBorder="1" applyAlignment="1" applyProtection="1">
      <protection hidden="1"/>
    </xf>
    <xf numFmtId="0" fontId="18" fillId="0" borderId="0" xfId="4" applyFont="1" applyAlignment="1" applyProtection="1">
      <alignment horizontal="right" vertical="center"/>
      <protection hidden="1"/>
    </xf>
    <xf numFmtId="0" fontId="23" fillId="0" borderId="0" xfId="4" applyFont="1" applyBorder="1" applyAlignment="1" applyProtection="1">
      <alignment vertical="center"/>
    </xf>
    <xf numFmtId="0" fontId="23" fillId="0" borderId="0" xfId="4" applyFont="1" applyBorder="1" applyAlignment="1" applyProtection="1">
      <alignment horizontal="left" vertical="center"/>
    </xf>
    <xf numFmtId="0" fontId="23" fillId="0" borderId="4" xfId="4" applyFont="1" applyBorder="1" applyAlignment="1" applyProtection="1">
      <alignment horizontal="left" vertical="center" wrapText="1"/>
    </xf>
    <xf numFmtId="164" fontId="13" fillId="0" borderId="7" xfId="4" applyNumberFormat="1" applyFont="1" applyBorder="1" applyAlignment="1" applyProtection="1">
      <alignment vertical="center"/>
    </xf>
    <xf numFmtId="9" fontId="13" fillId="0" borderId="8" xfId="7" applyFont="1" applyBorder="1" applyAlignment="1" applyProtection="1">
      <alignment horizontal="center" vertical="center"/>
    </xf>
    <xf numFmtId="0" fontId="0" fillId="0" borderId="0" xfId="0" applyBorder="1" applyProtection="1"/>
    <xf numFmtId="164" fontId="13" fillId="0" borderId="0" xfId="3" applyNumberFormat="1" applyFont="1" applyFill="1" applyBorder="1" applyProtection="1"/>
    <xf numFmtId="0" fontId="0" fillId="0" borderId="0" xfId="3" applyFont="1" applyFill="1" applyBorder="1" applyProtection="1"/>
    <xf numFmtId="0" fontId="10" fillId="0" borderId="0" xfId="0" applyNumberFormat="1" applyFont="1" applyBorder="1"/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5" fillId="0" borderId="0" xfId="0" applyFont="1" applyAlignment="1" applyProtection="1">
      <alignment horizontal="right" indent="1"/>
    </xf>
    <xf numFmtId="0" fontId="5" fillId="0" borderId="0" xfId="0" applyFont="1" applyFill="1" applyBorder="1" applyAlignment="1" applyProtection="1">
      <alignment horizontal="right" indent="1"/>
    </xf>
    <xf numFmtId="0" fontId="30" fillId="0" borderId="0" xfId="0" applyFont="1" applyAlignment="1" applyProtection="1">
      <alignment horizontal="left" indent="1"/>
    </xf>
    <xf numFmtId="166" fontId="16" fillId="0" borderId="0" xfId="4" applyNumberFormat="1" applyFont="1" applyFill="1" applyAlignment="1" applyProtection="1">
      <alignment vertical="center"/>
    </xf>
    <xf numFmtId="0" fontId="10" fillId="0" borderId="0" xfId="4" applyFont="1" applyProtection="1"/>
    <xf numFmtId="0" fontId="18" fillId="0" borderId="0" xfId="4" applyFont="1" applyAlignment="1" applyProtection="1">
      <alignment horizontal="right" vertical="center"/>
    </xf>
    <xf numFmtId="0" fontId="23" fillId="0" borderId="12" xfId="4" applyFont="1" applyBorder="1" applyAlignment="1" applyProtection="1">
      <alignment vertical="center"/>
      <protection hidden="1"/>
    </xf>
    <xf numFmtId="0" fontId="23" fillId="0" borderId="4" xfId="4" applyFont="1" applyBorder="1" applyAlignment="1" applyProtection="1">
      <alignment horizontal="left" vertical="center" indent="1"/>
    </xf>
    <xf numFmtId="0" fontId="4" fillId="3" borderId="13" xfId="2" applyBorder="1" applyProtection="1">
      <protection locked="0"/>
    </xf>
    <xf numFmtId="0" fontId="3" fillId="2" borderId="13" xfId="1" applyBorder="1" applyProtection="1">
      <protection locked="0"/>
    </xf>
    <xf numFmtId="49" fontId="3" fillId="2" borderId="13" xfId="1" applyNumberFormat="1" applyBorder="1" applyAlignment="1" applyProtection="1">
      <alignment horizontal="center" vertical="center"/>
      <protection locked="0"/>
    </xf>
    <xf numFmtId="0" fontId="4" fillId="3" borderId="13" xfId="2" applyBorder="1" applyAlignment="1" applyProtection="1">
      <alignment horizontal="center"/>
      <protection locked="0"/>
    </xf>
    <xf numFmtId="49" fontId="3" fillId="2" borderId="13" xfId="1" applyNumberForma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 indent="1"/>
    </xf>
    <xf numFmtId="0" fontId="30" fillId="0" borderId="0" xfId="0" applyFont="1" applyBorder="1" applyAlignment="1" applyProtection="1">
      <alignment horizontal="left" indent="1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center"/>
    </xf>
    <xf numFmtId="0" fontId="35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indent="1"/>
    </xf>
    <xf numFmtId="0" fontId="0" fillId="0" borderId="0" xfId="0" applyBorder="1" applyAlignment="1" applyProtection="1"/>
    <xf numFmtId="14" fontId="0" fillId="0" borderId="0" xfId="0" applyNumberFormat="1" applyBorder="1" applyProtection="1"/>
    <xf numFmtId="0" fontId="29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horizontal="right" vertical="center"/>
    </xf>
    <xf numFmtId="14" fontId="0" fillId="0" borderId="0" xfId="0" applyNumberFormat="1" applyBorder="1" applyAlignment="1" applyProtection="1">
      <alignment horizontal="left" indent="1"/>
    </xf>
    <xf numFmtId="0" fontId="6" fillId="0" borderId="0" xfId="0" applyFont="1" applyBorder="1" applyAlignment="1" applyProtection="1">
      <alignment vertical="center"/>
    </xf>
    <xf numFmtId="9" fontId="0" fillId="0" borderId="0" xfId="0" applyNumberForma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 wrapText="1" indent="1"/>
    </xf>
    <xf numFmtId="0" fontId="0" fillId="0" borderId="0" xfId="0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vertical="center"/>
      <protection locked="0"/>
    </xf>
    <xf numFmtId="49" fontId="3" fillId="0" borderId="0" xfId="1" applyNumberFormat="1" applyFill="1" applyBorder="1" applyProtection="1"/>
    <xf numFmtId="0" fontId="31" fillId="0" borderId="15" xfId="3" applyFont="1" applyFill="1" applyBorder="1" applyAlignment="1" applyProtection="1">
      <alignment horizontal="left" indent="1"/>
    </xf>
    <xf numFmtId="0" fontId="0" fillId="0" borderId="0" xfId="0" applyAlignment="1" applyProtection="1">
      <alignment horizontal="right"/>
    </xf>
    <xf numFmtId="14" fontId="0" fillId="0" borderId="0" xfId="0" applyNumberFormat="1" applyBorder="1" applyAlignment="1" applyProtection="1">
      <alignment horizontal="right" indent="2"/>
    </xf>
    <xf numFmtId="0" fontId="29" fillId="0" borderId="0" xfId="0" applyFont="1" applyBorder="1" applyAlignment="1" applyProtection="1">
      <alignment horizontal="right" vertical="center" indent="2"/>
    </xf>
    <xf numFmtId="0" fontId="0" fillId="0" borderId="0" xfId="0" applyBorder="1" applyAlignment="1" applyProtection="1">
      <alignment horizontal="left" indent="1"/>
    </xf>
    <xf numFmtId="0" fontId="5" fillId="0" borderId="0" xfId="0" applyFont="1" applyBorder="1" applyAlignment="1" applyProtection="1">
      <alignment horizontal="left" indent="1"/>
    </xf>
    <xf numFmtId="0" fontId="6" fillId="0" borderId="0" xfId="0" applyFont="1" applyBorder="1" applyAlignment="1" applyProtection="1">
      <alignment horizontal="left" vertical="center" indent="1"/>
    </xf>
    <xf numFmtId="0" fontId="28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/>
    </xf>
    <xf numFmtId="49" fontId="10" fillId="0" borderId="0" xfId="4" applyNumberFormat="1" applyFont="1" applyAlignment="1">
      <alignment horizontal="center" vertical="top"/>
    </xf>
    <xf numFmtId="165" fontId="10" fillId="0" borderId="0" xfId="4" applyNumberFormat="1" applyFont="1" applyAlignment="1">
      <alignment horizontal="center" vertical="top"/>
    </xf>
    <xf numFmtId="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9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10" fillId="6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Border="1"/>
    <xf numFmtId="0" fontId="40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vertical="center" wrapText="1"/>
    </xf>
    <xf numFmtId="9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9" fillId="6" borderId="0" xfId="0" applyNumberFormat="1" applyFont="1" applyFill="1" applyBorder="1" applyAlignment="1">
      <alignment horizontal="right" vertical="center"/>
    </xf>
    <xf numFmtId="0" fontId="9" fillId="6" borderId="0" xfId="0" applyNumberFormat="1" applyFont="1" applyFill="1" applyBorder="1" applyAlignment="1">
      <alignment horizontal="center" vertical="center"/>
    </xf>
    <xf numFmtId="0" fontId="9" fillId="6" borderId="0" xfId="0" applyNumberFormat="1" applyFont="1" applyFill="1" applyBorder="1" applyAlignment="1">
      <alignment horizontal="left" vertical="center"/>
    </xf>
    <xf numFmtId="0" fontId="7" fillId="0" borderId="0" xfId="0" applyFont="1" applyAlignment="1" applyProtection="1">
      <alignment horizontal="left"/>
    </xf>
    <xf numFmtId="1" fontId="7" fillId="0" borderId="0" xfId="0" applyNumberFormat="1" applyFont="1" applyAlignment="1" applyProtection="1">
      <alignment horizontal="left" vertical="center"/>
    </xf>
    <xf numFmtId="0" fontId="3" fillId="0" borderId="0" xfId="1" applyFill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166" fontId="38" fillId="7" borderId="14" xfId="1" applyNumberFormat="1" applyFont="1" applyFill="1" applyBorder="1" applyAlignment="1" applyProtection="1">
      <alignment horizontal="left" vertical="center" indent="1"/>
      <protection locked="0"/>
    </xf>
    <xf numFmtId="0" fontId="3" fillId="9" borderId="5" xfId="1" applyFill="1" applyBorder="1" applyAlignment="1" applyProtection="1">
      <alignment horizontal="left" indent="1"/>
      <protection locked="0"/>
    </xf>
    <xf numFmtId="0" fontId="3" fillId="9" borderId="13" xfId="1" applyFill="1" applyBorder="1" applyAlignment="1" applyProtection="1">
      <alignment horizontal="left" indent="1"/>
      <protection locked="0"/>
    </xf>
    <xf numFmtId="0" fontId="3" fillId="9" borderId="14" xfId="1" applyFill="1" applyBorder="1" applyAlignment="1" applyProtection="1">
      <alignment horizontal="left" indent="1"/>
      <protection locked="0"/>
    </xf>
    <xf numFmtId="0" fontId="3" fillId="10" borderId="5" xfId="1" applyFill="1" applyBorder="1" applyAlignment="1" applyProtection="1">
      <alignment horizontal="left" indent="1"/>
      <protection locked="0"/>
    </xf>
    <xf numFmtId="0" fontId="3" fillId="10" borderId="13" xfId="1" applyFill="1" applyBorder="1" applyAlignment="1" applyProtection="1">
      <alignment horizontal="left" indent="1"/>
      <protection locked="0"/>
    </xf>
    <xf numFmtId="14" fontId="3" fillId="10" borderId="13" xfId="1" applyNumberFormat="1" applyFill="1" applyBorder="1" applyAlignment="1" applyProtection="1">
      <alignment horizontal="left" indent="1"/>
      <protection locked="0"/>
    </xf>
    <xf numFmtId="49" fontId="3" fillId="10" borderId="14" xfId="1" applyNumberFormat="1" applyFill="1" applyBorder="1" applyAlignment="1" applyProtection="1">
      <alignment horizontal="left" indent="1"/>
      <protection locked="0"/>
    </xf>
    <xf numFmtId="0" fontId="4" fillId="3" borderId="5" xfId="2" applyBorder="1" applyAlignment="1" applyProtection="1">
      <alignment horizontal="left" indent="1"/>
      <protection locked="0"/>
    </xf>
    <xf numFmtId="0" fontId="4" fillId="3" borderId="13" xfId="2" applyBorder="1" applyAlignment="1" applyProtection="1">
      <alignment horizontal="left" indent="1"/>
      <protection locked="0"/>
    </xf>
    <xf numFmtId="14" fontId="3" fillId="2" borderId="13" xfId="1" applyNumberFormat="1" applyBorder="1" applyAlignment="1" applyProtection="1">
      <alignment horizontal="left" indent="1"/>
      <protection locked="0"/>
    </xf>
    <xf numFmtId="166" fontId="10" fillId="0" borderId="0" xfId="0" applyNumberFormat="1" applyFont="1" applyFill="1" applyBorder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0" fontId="9" fillId="0" borderId="0" xfId="4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9" fillId="0" borderId="0" xfId="4" applyNumberFormat="1" applyFont="1" applyBorder="1" applyAlignment="1">
      <alignment horizontal="left" vertical="center" indent="1"/>
    </xf>
    <xf numFmtId="0" fontId="10" fillId="0" borderId="0" xfId="0" applyNumberFormat="1" applyFont="1" applyBorder="1" applyAlignment="1">
      <alignment horizontal="left"/>
    </xf>
    <xf numFmtId="0" fontId="7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>
      <alignment horizontal="left"/>
    </xf>
    <xf numFmtId="166" fontId="10" fillId="0" borderId="0" xfId="0" applyNumberFormat="1" applyFont="1" applyBorder="1" applyAlignment="1">
      <alignment vertical="center"/>
    </xf>
    <xf numFmtId="166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49" fontId="23" fillId="0" borderId="0" xfId="4" applyNumberFormat="1" applyFont="1" applyBorder="1" applyAlignment="1" applyProtection="1">
      <alignment horizontal="center"/>
      <protection locked="0" hidden="1"/>
    </xf>
    <xf numFmtId="0" fontId="5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indent="1"/>
    </xf>
    <xf numFmtId="16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9" fontId="0" fillId="0" borderId="0" xfId="7" applyFont="1" applyBorder="1" applyAlignment="1" applyProtection="1">
      <alignment horizontal="center" vertical="center"/>
    </xf>
    <xf numFmtId="9" fontId="0" fillId="0" borderId="0" xfId="0" applyNumberFormat="1" applyAlignment="1">
      <alignment horizontal="center"/>
    </xf>
    <xf numFmtId="0" fontId="41" fillId="0" borderId="0" xfId="0" applyFont="1"/>
    <xf numFmtId="0" fontId="18" fillId="8" borderId="18" xfId="4" applyFont="1" applyFill="1" applyBorder="1" applyAlignment="1" applyProtection="1">
      <alignment horizontal="center" vertical="center"/>
      <protection hidden="1"/>
    </xf>
    <xf numFmtId="0" fontId="18" fillId="8" borderId="20" xfId="4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right" vertical="center" indent="1"/>
    </xf>
    <xf numFmtId="0" fontId="7" fillId="0" borderId="0" xfId="0" applyFont="1" applyBorder="1" applyAlignment="1" applyProtection="1">
      <alignment horizontal="right" indent="1"/>
    </xf>
    <xf numFmtId="0" fontId="39" fillId="0" borderId="0" xfId="0" applyFont="1" applyBorder="1" applyAlignment="1" applyProtection="1">
      <alignment horizontal="right" indent="1"/>
    </xf>
    <xf numFmtId="8" fontId="13" fillId="0" borderId="0" xfId="5" applyNumberFormat="1" applyFont="1" applyFill="1" applyBorder="1" applyAlignment="1" applyProtection="1">
      <alignment horizontal="right" vertical="center"/>
      <protection hidden="1"/>
    </xf>
    <xf numFmtId="0" fontId="18" fillId="8" borderId="16" xfId="4" applyFont="1" applyFill="1" applyBorder="1" applyAlignment="1" applyProtection="1">
      <alignment vertical="center"/>
      <protection hidden="1"/>
    </xf>
    <xf numFmtId="0" fontId="18" fillId="8" borderId="17" xfId="4" applyFont="1" applyFill="1" applyBorder="1" applyAlignment="1" applyProtection="1">
      <alignment vertical="center"/>
      <protection hidden="1"/>
    </xf>
    <xf numFmtId="0" fontId="18" fillId="8" borderId="16" xfId="4" applyFont="1" applyFill="1" applyBorder="1" applyAlignment="1" applyProtection="1">
      <alignment horizontal="center" vertical="center"/>
      <protection hidden="1"/>
    </xf>
    <xf numFmtId="0" fontId="18" fillId="8" borderId="17" xfId="4" applyFont="1" applyFill="1" applyBorder="1" applyAlignment="1" applyProtection="1">
      <alignment horizontal="center" vertical="center"/>
      <protection hidden="1"/>
    </xf>
    <xf numFmtId="0" fontId="18" fillId="8" borderId="22" xfId="4" applyFont="1" applyFill="1" applyBorder="1" applyAlignment="1" applyProtection="1">
      <alignment horizontal="center" vertical="center"/>
      <protection hidden="1"/>
    </xf>
    <xf numFmtId="0" fontId="18" fillId="8" borderId="18" xfId="4" applyFont="1" applyFill="1" applyBorder="1" applyAlignment="1" applyProtection="1">
      <alignment vertical="center"/>
      <protection hidden="1"/>
    </xf>
    <xf numFmtId="1" fontId="18" fillId="8" borderId="19" xfId="4" applyNumberFormat="1" applyFont="1" applyFill="1" applyBorder="1" applyAlignment="1" applyProtection="1">
      <alignment horizontal="center" vertical="center"/>
      <protection hidden="1"/>
    </xf>
    <xf numFmtId="0" fontId="18" fillId="8" borderId="0" xfId="4" applyFont="1" applyFill="1" applyBorder="1" applyAlignment="1" applyProtection="1">
      <alignment horizontal="center" vertical="center"/>
      <protection hidden="1"/>
    </xf>
    <xf numFmtId="1" fontId="18" fillId="8" borderId="19" xfId="4" applyNumberFormat="1" applyFont="1" applyFill="1" applyBorder="1" applyAlignment="1" applyProtection="1">
      <alignment vertical="center"/>
      <protection hidden="1"/>
    </xf>
    <xf numFmtId="0" fontId="18" fillId="8" borderId="20" xfId="4" applyFont="1" applyFill="1" applyBorder="1" applyAlignment="1" applyProtection="1">
      <alignment vertical="center"/>
      <protection hidden="1"/>
    </xf>
    <xf numFmtId="0" fontId="18" fillId="8" borderId="23" xfId="4" applyFont="1" applyFill="1" applyBorder="1" applyAlignment="1" applyProtection="1">
      <alignment horizontal="center" vertical="center"/>
      <protection hidden="1"/>
    </xf>
    <xf numFmtId="1" fontId="18" fillId="8" borderId="21" xfId="4" applyNumberFormat="1" applyFont="1" applyFill="1" applyBorder="1" applyAlignment="1" applyProtection="1">
      <alignment vertical="center"/>
      <protection hidden="1"/>
    </xf>
    <xf numFmtId="1" fontId="0" fillId="8" borderId="19" xfId="0" applyNumberFormat="1" applyFont="1" applyFill="1" applyBorder="1" applyAlignment="1" applyProtection="1">
      <alignment horizontal="center" vertical="center"/>
    </xf>
    <xf numFmtId="1" fontId="18" fillId="8" borderId="18" xfId="4" applyNumberFormat="1" applyFont="1" applyFill="1" applyBorder="1" applyAlignment="1" applyProtection="1">
      <alignment vertical="center"/>
      <protection hidden="1"/>
    </xf>
    <xf numFmtId="0" fontId="13" fillId="0" borderId="0" xfId="4" quotePrefix="1" applyNumberFormat="1" applyFont="1" applyAlignment="1" applyProtection="1">
      <alignment vertical="center"/>
      <protection hidden="1"/>
    </xf>
    <xf numFmtId="0" fontId="17" fillId="0" borderId="26" xfId="4" applyFont="1" applyBorder="1" applyAlignment="1" applyProtection="1">
      <alignment horizontal="center" vertical="center" wrapText="1"/>
      <protection hidden="1"/>
    </xf>
    <xf numFmtId="0" fontId="9" fillId="0" borderId="0" xfId="4" applyFont="1" applyAlignment="1" applyProtection="1">
      <alignment horizontal="center" vertical="center"/>
      <protection hidden="1"/>
    </xf>
    <xf numFmtId="0" fontId="9" fillId="0" borderId="0" xfId="4" quotePrefix="1" applyFont="1" applyBorder="1" applyAlignment="1" applyProtection="1">
      <alignment horizontal="center"/>
      <protection hidden="1"/>
    </xf>
    <xf numFmtId="0" fontId="13" fillId="0" borderId="9" xfId="5" applyFont="1" applyBorder="1" applyAlignment="1" applyProtection="1">
      <alignment horizontal="center" vertical="center"/>
      <protection hidden="1"/>
    </xf>
    <xf numFmtId="0" fontId="18" fillId="8" borderId="22" xfId="4" applyFont="1" applyFill="1" applyBorder="1" applyAlignment="1" applyProtection="1">
      <alignment vertical="center"/>
      <protection hidden="1"/>
    </xf>
    <xf numFmtId="1" fontId="0" fillId="8" borderId="0" xfId="0" applyNumberFormat="1" applyFont="1" applyFill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vertical="center"/>
      <protection locked="0" hidden="1"/>
    </xf>
    <xf numFmtId="49" fontId="23" fillId="0" borderId="5" xfId="4" applyNumberFormat="1" applyFont="1" applyBorder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42" fillId="0" borderId="0" xfId="4" applyFont="1" applyBorder="1" applyAlignment="1" applyProtection="1">
      <alignment wrapText="1"/>
      <protection hidden="1"/>
    </xf>
    <xf numFmtId="0" fontId="0" fillId="0" borderId="0" xfId="0" applyBorder="1" applyProtection="1"/>
    <xf numFmtId="14" fontId="0" fillId="0" borderId="0" xfId="0" applyNumberFormat="1" applyBorder="1" applyAlignment="1" applyProtection="1">
      <alignment horizontal="right"/>
    </xf>
    <xf numFmtId="166" fontId="9" fillId="0" borderId="0" xfId="0" applyNumberFormat="1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 wrapText="1"/>
    </xf>
    <xf numFmtId="0" fontId="5" fillId="0" borderId="0" xfId="0" applyFont="1" applyBorder="1" applyAlignment="1" applyProtection="1">
      <alignment horizontal="left" indent="1"/>
    </xf>
    <xf numFmtId="0" fontId="6" fillId="0" borderId="0" xfId="0" applyFont="1" applyBorder="1" applyAlignment="1" applyProtection="1">
      <alignment horizontal="left" vertical="center" indent="1"/>
    </xf>
    <xf numFmtId="0" fontId="39" fillId="0" borderId="0" xfId="0" applyFont="1" applyBorder="1" applyAlignment="1" applyProtection="1">
      <alignment horizontal="right" indent="1"/>
      <protection locked="0"/>
    </xf>
    <xf numFmtId="0" fontId="36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43" fillId="0" borderId="0" xfId="0" applyFont="1" applyBorder="1" applyAlignment="1" applyProtection="1">
      <alignment horizontal="right" vertical="center" wrapText="1" indent="1"/>
    </xf>
    <xf numFmtId="0" fontId="0" fillId="0" borderId="0" xfId="0" applyBorder="1" applyAlignment="1" applyProtection="1">
      <alignment horizontal="left" indent="1"/>
    </xf>
    <xf numFmtId="0" fontId="29" fillId="0" borderId="0" xfId="0" applyFont="1" applyBorder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3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indent="1"/>
      <protection locked="0"/>
    </xf>
    <xf numFmtId="0" fontId="0" fillId="0" borderId="0" xfId="0" applyBorder="1" applyAlignment="1" applyProtection="1">
      <alignment horizontal="right"/>
    </xf>
    <xf numFmtId="0" fontId="28" fillId="0" borderId="0" xfId="0" applyFont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left" indent="1"/>
    </xf>
    <xf numFmtId="0" fontId="30" fillId="0" borderId="0" xfId="0" applyFont="1" applyAlignment="1" applyProtection="1">
      <alignment horizontal="left"/>
    </xf>
    <xf numFmtId="0" fontId="0" fillId="0" borderId="0" xfId="0" applyFont="1" applyBorder="1" applyAlignment="1" applyProtection="1">
      <alignment horizontal="left" vertical="top" wrapText="1"/>
    </xf>
    <xf numFmtId="0" fontId="13" fillId="0" borderId="8" xfId="4" applyNumberFormat="1" applyFont="1" applyBorder="1" applyAlignment="1" applyProtection="1">
      <alignment horizontal="left" vertical="center"/>
    </xf>
    <xf numFmtId="0" fontId="13" fillId="0" borderId="4" xfId="4" applyNumberFormat="1" applyFont="1" applyBorder="1" applyAlignment="1" applyProtection="1">
      <alignment horizontal="left" vertical="center"/>
    </xf>
    <xf numFmtId="0" fontId="17" fillId="0" borderId="24" xfId="4" applyFont="1" applyBorder="1" applyAlignment="1" applyProtection="1">
      <alignment horizontal="center" vertical="center" wrapText="1"/>
      <protection hidden="1"/>
    </xf>
    <xf numFmtId="0" fontId="17" fillId="0" borderId="26" xfId="4" applyFont="1" applyBorder="1" applyAlignment="1" applyProtection="1">
      <alignment horizontal="center" vertical="center" wrapText="1"/>
      <protection hidden="1"/>
    </xf>
    <xf numFmtId="0" fontId="17" fillId="0" borderId="25" xfId="4" applyFont="1" applyBorder="1" applyAlignment="1" applyProtection="1">
      <alignment horizontal="center" vertical="center" wrapText="1"/>
      <protection hidden="1"/>
    </xf>
    <xf numFmtId="0" fontId="42" fillId="0" borderId="0" xfId="4" applyFont="1" applyBorder="1" applyAlignment="1" applyProtection="1">
      <alignment horizontal="left" vertical="center" wrapText="1"/>
      <protection hidden="1"/>
    </xf>
    <xf numFmtId="0" fontId="9" fillId="0" borderId="0" xfId="4" applyFont="1" applyAlignment="1" applyProtection="1">
      <alignment horizontal="center" vertical="center"/>
      <protection hidden="1"/>
    </xf>
    <xf numFmtId="0" fontId="9" fillId="0" borderId="0" xfId="4" quotePrefix="1" applyFont="1" applyBorder="1" applyAlignment="1" applyProtection="1">
      <alignment horizontal="center"/>
      <protection hidden="1"/>
    </xf>
    <xf numFmtId="0" fontId="13" fillId="0" borderId="8" xfId="4" applyNumberFormat="1" applyFont="1" applyBorder="1" applyAlignment="1" applyProtection="1">
      <alignment horizontal="center" vertical="center"/>
    </xf>
    <xf numFmtId="0" fontId="13" fillId="0" borderId="7" xfId="4" applyNumberFormat="1" applyFont="1" applyBorder="1" applyAlignment="1" applyProtection="1">
      <alignment horizontal="center" vertical="center"/>
    </xf>
    <xf numFmtId="0" fontId="13" fillId="0" borderId="9" xfId="5" applyFont="1" applyBorder="1" applyAlignment="1" applyProtection="1">
      <alignment horizontal="center" vertical="center"/>
      <protection hidden="1"/>
    </xf>
    <xf numFmtId="0" fontId="22" fillId="0" borderId="3" xfId="4" applyFont="1" applyBorder="1" applyAlignment="1" applyProtection="1">
      <alignment horizontal="center"/>
      <protection hidden="1"/>
    </xf>
    <xf numFmtId="0" fontId="23" fillId="0" borderId="4" xfId="4" applyFont="1" applyBorder="1" applyAlignment="1" applyProtection="1">
      <alignment horizontal="left" vertical="center" wrapText="1"/>
      <protection locked="0" hidden="1"/>
    </xf>
    <xf numFmtId="0" fontId="9" fillId="0" borderId="10" xfId="4" applyFont="1" applyBorder="1" applyAlignment="1" applyProtection="1">
      <alignment horizontal="center"/>
      <protection hidden="1"/>
    </xf>
    <xf numFmtId="0" fontId="22" fillId="0" borderId="11" xfId="4" quotePrefix="1" applyFont="1" applyBorder="1" applyAlignment="1" applyProtection="1">
      <alignment horizontal="center"/>
      <protection hidden="1"/>
    </xf>
    <xf numFmtId="0" fontId="17" fillId="0" borderId="0" xfId="4" applyFont="1" applyAlignment="1" applyProtection="1">
      <alignment horizontal="center" vertical="center" wrapText="1"/>
      <protection hidden="1"/>
    </xf>
    <xf numFmtId="0" fontId="18" fillId="0" borderId="0" xfId="4" applyFont="1" applyAlignment="1" applyProtection="1">
      <alignment horizontal="right" vertical="center"/>
      <protection hidden="1"/>
    </xf>
    <xf numFmtId="0" fontId="21" fillId="0" borderId="0" xfId="4" applyFont="1" applyAlignment="1" applyProtection="1">
      <alignment horizontal="left" vertical="center"/>
      <protection hidden="1"/>
    </xf>
    <xf numFmtId="0" fontId="23" fillId="0" borderId="5" xfId="4" applyFont="1" applyBorder="1" applyAlignment="1" applyProtection="1">
      <alignment horizontal="center" vertical="center"/>
      <protection hidden="1"/>
    </xf>
    <xf numFmtId="0" fontId="13" fillId="0" borderId="0" xfId="4" applyFont="1" applyAlignment="1" applyProtection="1">
      <alignment horizontal="left" vertical="center" wrapText="1"/>
      <protection hidden="1"/>
    </xf>
    <xf numFmtId="0" fontId="15" fillId="0" borderId="0" xfId="4" applyFont="1" applyBorder="1" applyAlignment="1" applyProtection="1">
      <alignment horizontal="right" vertical="center"/>
      <protection hidden="1"/>
    </xf>
    <xf numFmtId="0" fontId="23" fillId="0" borderId="4" xfId="4" applyFont="1" applyBorder="1" applyAlignment="1" applyProtection="1">
      <alignment horizontal="left" vertical="center"/>
      <protection locked="0" hidden="1"/>
    </xf>
    <xf numFmtId="0" fontId="23" fillId="0" borderId="4" xfId="4" applyFont="1" applyBorder="1" applyAlignment="1" applyProtection="1">
      <alignment horizontal="left" vertical="center" wrapText="1"/>
      <protection locked="0"/>
    </xf>
    <xf numFmtId="0" fontId="23" fillId="0" borderId="3" xfId="4" applyFont="1" applyBorder="1" applyAlignment="1" applyProtection="1">
      <alignment horizontal="left" vertical="center" wrapText="1"/>
      <protection locked="0" hidden="1"/>
    </xf>
    <xf numFmtId="0" fontId="23" fillId="0" borderId="4" xfId="4" applyFont="1" applyBorder="1" applyAlignment="1" applyProtection="1">
      <alignment horizontal="left" vertical="center" wrapText="1"/>
      <protection hidden="1"/>
    </xf>
  </cellXfs>
  <cellStyles count="8">
    <cellStyle name="Berechnung" xfId="2" builtinId="22"/>
    <cellStyle name="Eingabe" xfId="1" builtinId="20"/>
    <cellStyle name="Notiz" xfId="3" builtinId="10"/>
    <cellStyle name="Prozent" xfId="7" builtinId="5"/>
    <cellStyle name="Standard" xfId="0" builtinId="0"/>
    <cellStyle name="Standard 2" xfId="5"/>
    <cellStyle name="Standard 2 2" xfId="6"/>
    <cellStyle name="Standard 3" xfId="4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78740</xdr:colOff>
      <xdr:row>0</xdr:row>
      <xdr:rowOff>213360</xdr:rowOff>
    </xdr:from>
    <xdr:to>
      <xdr:col>17</xdr:col>
      <xdr:colOff>654350</xdr:colOff>
      <xdr:row>2</xdr:row>
      <xdr:rowOff>180904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7060" y="213360"/>
          <a:ext cx="2183430" cy="455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66675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5" sqref="C5"/>
    </sheetView>
  </sheetViews>
  <sheetFormatPr baseColWidth="10" defaultRowHeight="15"/>
  <cols>
    <col min="1" max="1" width="15" bestFit="1" customWidth="1"/>
  </cols>
  <sheetData>
    <row r="1" spans="1:4">
      <c r="A1" t="s">
        <v>243</v>
      </c>
      <c r="B1" s="175">
        <v>0.19</v>
      </c>
      <c r="C1">
        <v>9</v>
      </c>
    </row>
    <row r="2" spans="1:4">
      <c r="A2" t="s">
        <v>245</v>
      </c>
      <c r="B2" s="175">
        <v>7.0000000000000007E-2</v>
      </c>
      <c r="C2">
        <v>8</v>
      </c>
    </row>
    <row r="3" spans="1:4">
      <c r="A3" t="s">
        <v>244</v>
      </c>
      <c r="B3" s="175">
        <v>0</v>
      </c>
      <c r="C3">
        <v>7</v>
      </c>
    </row>
    <row r="4" spans="1:4">
      <c r="A4" t="s">
        <v>246</v>
      </c>
      <c r="B4" s="173" t="s">
        <v>265</v>
      </c>
      <c r="C4">
        <v>6</v>
      </c>
    </row>
    <row r="7" spans="1:4" ht="15.75">
      <c r="D7" s="176"/>
    </row>
    <row r="8" spans="1:4" ht="15.75">
      <c r="D8" s="176"/>
    </row>
    <row r="9" spans="1:4" ht="15.75">
      <c r="D9" s="176"/>
    </row>
    <row r="10" spans="1:4" ht="15.75">
      <c r="D10" s="176"/>
    </row>
    <row r="11" spans="1:4" ht="15.75">
      <c r="D11" s="176"/>
    </row>
    <row r="12" spans="1:4" ht="15.75">
      <c r="D12" s="176"/>
    </row>
    <row r="13" spans="1:4" ht="15.75">
      <c r="D13" s="176"/>
    </row>
    <row r="14" spans="1:4" ht="15.75">
      <c r="D14" s="176"/>
    </row>
  </sheetData>
  <sheetProtection password="C597" sheet="1" objects="1" scenarios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M515"/>
  <sheetViews>
    <sheetView topLeftCell="C1" workbookViewId="0">
      <selection activeCell="D15" sqref="D15"/>
    </sheetView>
  </sheetViews>
  <sheetFormatPr baseColWidth="10" defaultColWidth="11.42578125" defaultRowHeight="12.75"/>
  <cols>
    <col min="1" max="1" width="20" style="130" customWidth="1"/>
    <col min="2" max="2" width="13.85546875" style="130" customWidth="1"/>
    <col min="3" max="3" width="33.28515625" style="130" bestFit="1" customWidth="1"/>
    <col min="4" max="4" width="48" style="120" bestFit="1" customWidth="1"/>
    <col min="5" max="5" width="37.7109375" style="120" customWidth="1"/>
    <col min="6" max="6" width="47" style="120" bestFit="1" customWidth="1"/>
    <col min="7" max="7" width="49.7109375" style="120" bestFit="1" customWidth="1"/>
    <col min="8" max="8" width="11.42578125" style="120"/>
    <col min="9" max="9" width="48" style="120" bestFit="1" customWidth="1"/>
    <col min="10" max="10" width="12" style="120" customWidth="1"/>
    <col min="11" max="11" width="11.5703125" style="119" customWidth="1"/>
    <col min="12" max="12" width="11.42578125" style="119"/>
    <col min="13" max="16384" width="11.42578125" style="120"/>
  </cols>
  <sheetData>
    <row r="1" spans="1:13" s="135" customFormat="1" ht="35.25" customHeight="1">
      <c r="A1" s="131"/>
      <c r="B1" s="132"/>
      <c r="C1" s="132"/>
      <c r="D1" s="133" t="s">
        <v>243</v>
      </c>
      <c r="E1" s="133" t="s">
        <v>245</v>
      </c>
      <c r="F1" s="133" t="s">
        <v>244</v>
      </c>
      <c r="G1" s="134" t="s">
        <v>246</v>
      </c>
      <c r="I1" s="135" t="s">
        <v>268</v>
      </c>
      <c r="K1" s="134" t="s">
        <v>270</v>
      </c>
      <c r="L1" s="134" t="s">
        <v>269</v>
      </c>
    </row>
    <row r="2" spans="1:13">
      <c r="A2" s="121" t="s">
        <v>243</v>
      </c>
      <c r="B2" s="122">
        <v>0.19</v>
      </c>
      <c r="C2" s="123"/>
      <c r="D2" s="120" t="s">
        <v>34</v>
      </c>
      <c r="E2" s="120" t="s">
        <v>70</v>
      </c>
      <c r="F2" s="120" t="s">
        <v>94</v>
      </c>
      <c r="G2" s="120" t="s">
        <v>139</v>
      </c>
      <c r="I2" s="120" t="s">
        <v>34</v>
      </c>
      <c r="J2" s="120">
        <v>101</v>
      </c>
      <c r="K2" s="119">
        <f>LEFT(I2,6)*1</f>
        <v>401310</v>
      </c>
      <c r="L2" s="118">
        <v>0.19</v>
      </c>
      <c r="M2" s="120" t="s">
        <v>34</v>
      </c>
    </row>
    <row r="3" spans="1:13">
      <c r="A3" s="124" t="s">
        <v>245</v>
      </c>
      <c r="B3" s="122">
        <v>7.0000000000000007E-2</v>
      </c>
      <c r="C3" s="123"/>
      <c r="D3" s="120" t="s">
        <v>35</v>
      </c>
      <c r="E3" s="120" t="s">
        <v>71</v>
      </c>
      <c r="F3" s="120" t="s">
        <v>95</v>
      </c>
      <c r="G3" s="120" t="s">
        <v>140</v>
      </c>
      <c r="I3" s="120" t="s">
        <v>35</v>
      </c>
      <c r="J3" s="120">
        <f>J2+1</f>
        <v>102</v>
      </c>
      <c r="K3" s="119">
        <f t="shared" ref="K3:K66" si="0">LEFT(I3,6)*1</f>
        <v>401351</v>
      </c>
      <c r="L3" s="118">
        <v>0.19</v>
      </c>
      <c r="M3" s="120" t="s">
        <v>35</v>
      </c>
    </row>
    <row r="4" spans="1:13">
      <c r="A4" s="124" t="s">
        <v>244</v>
      </c>
      <c r="B4" s="122">
        <v>0</v>
      </c>
      <c r="C4" s="123"/>
      <c r="D4" s="120" t="s">
        <v>36</v>
      </c>
      <c r="E4" s="120" t="s">
        <v>72</v>
      </c>
      <c r="F4" s="120" t="s">
        <v>96</v>
      </c>
      <c r="G4" s="120" t="s">
        <v>141</v>
      </c>
      <c r="I4" s="120" t="s">
        <v>36</v>
      </c>
      <c r="J4" s="120">
        <f t="shared" ref="J4:J67" si="1">J3+1</f>
        <v>103</v>
      </c>
      <c r="K4" s="119">
        <f t="shared" si="0"/>
        <v>401410</v>
      </c>
      <c r="L4" s="118">
        <v>0.19</v>
      </c>
      <c r="M4" s="120" t="s">
        <v>36</v>
      </c>
    </row>
    <row r="5" spans="1:13">
      <c r="A5" s="124" t="s">
        <v>246</v>
      </c>
      <c r="B5" s="121" t="s">
        <v>33</v>
      </c>
      <c r="C5" s="123"/>
      <c r="D5" s="120" t="s">
        <v>37</v>
      </c>
      <c r="E5" s="120" t="s">
        <v>73</v>
      </c>
      <c r="F5" s="120" t="s">
        <v>97</v>
      </c>
      <c r="G5" s="120" t="s">
        <v>142</v>
      </c>
      <c r="I5" s="120" t="s">
        <v>37</v>
      </c>
      <c r="J5" s="120">
        <f t="shared" si="1"/>
        <v>104</v>
      </c>
      <c r="K5" s="119">
        <f t="shared" si="0"/>
        <v>401510</v>
      </c>
      <c r="L5" s="118">
        <v>0.19</v>
      </c>
      <c r="M5" s="120" t="s">
        <v>37</v>
      </c>
    </row>
    <row r="6" spans="1:13">
      <c r="A6" s="124" t="s">
        <v>266</v>
      </c>
      <c r="B6" s="121" t="s">
        <v>267</v>
      </c>
      <c r="C6" s="123"/>
      <c r="D6" s="120" t="s">
        <v>38</v>
      </c>
      <c r="E6" s="120" t="s">
        <v>74</v>
      </c>
      <c r="F6" s="120" t="s">
        <v>98</v>
      </c>
      <c r="G6" s="120" t="s">
        <v>143</v>
      </c>
      <c r="I6" s="120" t="s">
        <v>38</v>
      </c>
      <c r="J6" s="120">
        <f t="shared" si="1"/>
        <v>105</v>
      </c>
      <c r="K6" s="119">
        <f t="shared" si="0"/>
        <v>401910</v>
      </c>
      <c r="L6" s="118">
        <v>0.19</v>
      </c>
      <c r="M6" s="120" t="s">
        <v>38</v>
      </c>
    </row>
    <row r="7" spans="1:13">
      <c r="A7" s="124"/>
      <c r="B7" s="121"/>
      <c r="C7" s="123"/>
      <c r="D7" s="120" t="s">
        <v>39</v>
      </c>
      <c r="E7" s="120" t="s">
        <v>75</v>
      </c>
      <c r="F7" s="120" t="s">
        <v>99</v>
      </c>
      <c r="G7" s="120" t="s">
        <v>144</v>
      </c>
      <c r="I7" s="120" t="s">
        <v>39</v>
      </c>
      <c r="J7" s="120">
        <f t="shared" si="1"/>
        <v>106</v>
      </c>
      <c r="K7" s="119">
        <f t="shared" si="0"/>
        <v>402020</v>
      </c>
      <c r="L7" s="118">
        <v>0.19</v>
      </c>
      <c r="M7" s="120" t="s">
        <v>39</v>
      </c>
    </row>
    <row r="8" spans="1:13">
      <c r="A8" s="124"/>
      <c r="B8" s="121"/>
      <c r="C8" s="123"/>
      <c r="D8" s="120" t="s">
        <v>40</v>
      </c>
      <c r="E8" s="120" t="s">
        <v>76</v>
      </c>
      <c r="F8" s="120" t="s">
        <v>100</v>
      </c>
      <c r="G8" s="120" t="s">
        <v>145</v>
      </c>
      <c r="I8" s="120" t="s">
        <v>40</v>
      </c>
      <c r="J8" s="120">
        <f t="shared" si="1"/>
        <v>107</v>
      </c>
      <c r="K8" s="119">
        <f t="shared" si="0"/>
        <v>402040</v>
      </c>
      <c r="L8" s="118">
        <v>0.19</v>
      </c>
      <c r="M8" s="120" t="s">
        <v>40</v>
      </c>
    </row>
    <row r="9" spans="1:13">
      <c r="A9" s="124"/>
      <c r="B9" s="121"/>
      <c r="C9" s="123"/>
      <c r="D9" s="120" t="s">
        <v>41</v>
      </c>
      <c r="E9" s="120" t="s">
        <v>77</v>
      </c>
      <c r="F9" s="120" t="s">
        <v>101</v>
      </c>
      <c r="G9" s="120" t="s">
        <v>146</v>
      </c>
      <c r="I9" s="120" t="s">
        <v>41</v>
      </c>
      <c r="J9" s="120">
        <f t="shared" si="1"/>
        <v>108</v>
      </c>
      <c r="K9" s="119">
        <f t="shared" si="0"/>
        <v>403110</v>
      </c>
      <c r="L9" s="118">
        <v>0.19</v>
      </c>
      <c r="M9" s="120" t="s">
        <v>41</v>
      </c>
    </row>
    <row r="10" spans="1:13">
      <c r="A10" s="121"/>
      <c r="B10" s="121"/>
      <c r="C10" s="123"/>
      <c r="D10" s="120" t="s">
        <v>42</v>
      </c>
      <c r="E10" s="120" t="s">
        <v>78</v>
      </c>
      <c r="F10" s="120" t="s">
        <v>102</v>
      </c>
      <c r="G10" s="120" t="s">
        <v>147</v>
      </c>
      <c r="I10" s="120" t="s">
        <v>42</v>
      </c>
      <c r="J10" s="120">
        <f t="shared" si="1"/>
        <v>109</v>
      </c>
      <c r="K10" s="119">
        <f t="shared" si="0"/>
        <v>411100</v>
      </c>
      <c r="L10" s="118">
        <v>0.19</v>
      </c>
      <c r="M10" s="120" t="s">
        <v>42</v>
      </c>
    </row>
    <row r="11" spans="1:13">
      <c r="A11" s="124"/>
      <c r="B11" s="121"/>
      <c r="C11" s="123"/>
      <c r="D11" s="120" t="s">
        <v>43</v>
      </c>
      <c r="E11" s="120" t="s">
        <v>79</v>
      </c>
      <c r="F11" s="120" t="s">
        <v>103</v>
      </c>
      <c r="G11" s="120" t="s">
        <v>148</v>
      </c>
      <c r="I11" s="120" t="s">
        <v>43</v>
      </c>
      <c r="J11" s="120">
        <f t="shared" si="1"/>
        <v>110</v>
      </c>
      <c r="K11" s="119">
        <f t="shared" si="0"/>
        <v>412100</v>
      </c>
      <c r="L11" s="118">
        <v>0.19</v>
      </c>
      <c r="M11" s="120" t="s">
        <v>43</v>
      </c>
    </row>
    <row r="12" spans="1:13">
      <c r="A12" s="124"/>
      <c r="B12" s="121"/>
      <c r="C12" s="123"/>
      <c r="D12" s="120" t="s">
        <v>44</v>
      </c>
      <c r="E12" s="120" t="s">
        <v>80</v>
      </c>
      <c r="F12" s="120" t="s">
        <v>104</v>
      </c>
      <c r="G12" s="120" t="s">
        <v>149</v>
      </c>
      <c r="I12" s="120" t="s">
        <v>44</v>
      </c>
      <c r="J12" s="120">
        <f t="shared" si="1"/>
        <v>111</v>
      </c>
      <c r="K12" s="119">
        <f t="shared" si="0"/>
        <v>413100</v>
      </c>
      <c r="L12" s="118">
        <v>0.19</v>
      </c>
      <c r="M12" s="120" t="s">
        <v>44</v>
      </c>
    </row>
    <row r="13" spans="1:13">
      <c r="A13" s="124"/>
      <c r="B13" s="121"/>
      <c r="C13" s="123"/>
      <c r="D13" s="120" t="s">
        <v>45</v>
      </c>
      <c r="E13" s="120" t="s">
        <v>81</v>
      </c>
      <c r="F13" s="120" t="s">
        <v>105</v>
      </c>
      <c r="G13" s="120" t="s">
        <v>150</v>
      </c>
      <c r="I13" s="120" t="s">
        <v>45</v>
      </c>
      <c r="J13" s="120">
        <f t="shared" si="1"/>
        <v>112</v>
      </c>
      <c r="K13" s="119">
        <f t="shared" si="0"/>
        <v>414100</v>
      </c>
      <c r="L13" s="118">
        <v>0.19</v>
      </c>
      <c r="M13" s="120" t="s">
        <v>45</v>
      </c>
    </row>
    <row r="14" spans="1:13">
      <c r="A14" s="121"/>
      <c r="B14" s="121"/>
      <c r="C14" s="123"/>
      <c r="D14" s="120" t="s">
        <v>46</v>
      </c>
      <c r="E14" s="120" t="s">
        <v>82</v>
      </c>
      <c r="F14" s="120" t="s">
        <v>106</v>
      </c>
      <c r="G14" s="120" t="s">
        <v>151</v>
      </c>
      <c r="I14" s="120" t="s">
        <v>46</v>
      </c>
      <c r="J14" s="120">
        <f t="shared" si="1"/>
        <v>113</v>
      </c>
      <c r="K14" s="119">
        <f t="shared" si="0"/>
        <v>415100</v>
      </c>
      <c r="L14" s="118">
        <v>0.19</v>
      </c>
      <c r="M14" s="120" t="s">
        <v>46</v>
      </c>
    </row>
    <row r="15" spans="1:13">
      <c r="A15" s="124"/>
      <c r="B15" s="121"/>
      <c r="C15" s="123"/>
      <c r="D15" s="120" t="s">
        <v>47</v>
      </c>
      <c r="E15" s="120" t="s">
        <v>83</v>
      </c>
      <c r="F15" s="120" t="s">
        <v>107</v>
      </c>
      <c r="G15" s="120" t="s">
        <v>152</v>
      </c>
      <c r="I15" s="120" t="s">
        <v>47</v>
      </c>
      <c r="J15" s="120">
        <f t="shared" si="1"/>
        <v>114</v>
      </c>
      <c r="K15" s="119">
        <f t="shared" si="0"/>
        <v>415510</v>
      </c>
      <c r="L15" s="118">
        <v>0.19</v>
      </c>
      <c r="M15" s="120" t="s">
        <v>47</v>
      </c>
    </row>
    <row r="16" spans="1:13">
      <c r="A16" s="124"/>
      <c r="B16" s="121"/>
      <c r="C16" s="123"/>
      <c r="D16" s="120" t="s">
        <v>48</v>
      </c>
      <c r="E16" s="120" t="s">
        <v>84</v>
      </c>
      <c r="F16" s="120" t="s">
        <v>108</v>
      </c>
      <c r="G16" s="120" t="s">
        <v>153</v>
      </c>
      <c r="I16" s="120" t="s">
        <v>48</v>
      </c>
      <c r="J16" s="120">
        <f t="shared" si="1"/>
        <v>115</v>
      </c>
      <c r="K16" s="119">
        <f t="shared" si="0"/>
        <v>416100</v>
      </c>
      <c r="L16" s="118">
        <v>0.19</v>
      </c>
      <c r="M16" s="120" t="s">
        <v>48</v>
      </c>
    </row>
    <row r="17" spans="1:13">
      <c r="A17" s="124"/>
      <c r="B17" s="121"/>
      <c r="C17" s="123"/>
      <c r="D17" s="120" t="s">
        <v>49</v>
      </c>
      <c r="E17" s="120" t="s">
        <v>85</v>
      </c>
      <c r="F17" s="120" t="s">
        <v>109</v>
      </c>
      <c r="G17" s="120" t="s">
        <v>154</v>
      </c>
      <c r="I17" s="120" t="s">
        <v>49</v>
      </c>
      <c r="J17" s="120">
        <f t="shared" si="1"/>
        <v>116</v>
      </c>
      <c r="K17" s="119">
        <f t="shared" si="0"/>
        <v>417100</v>
      </c>
      <c r="L17" s="118">
        <v>0.19</v>
      </c>
      <c r="M17" s="120" t="s">
        <v>49</v>
      </c>
    </row>
    <row r="18" spans="1:13">
      <c r="A18" s="121"/>
      <c r="B18" s="121"/>
      <c r="C18" s="123"/>
      <c r="D18" s="120" t="s">
        <v>50</v>
      </c>
      <c r="E18" s="120" t="s">
        <v>86</v>
      </c>
      <c r="F18" s="120" t="s">
        <v>110</v>
      </c>
      <c r="G18" s="120" t="s">
        <v>155</v>
      </c>
      <c r="I18" s="120" t="s">
        <v>50</v>
      </c>
      <c r="J18" s="120">
        <f t="shared" si="1"/>
        <v>117</v>
      </c>
      <c r="K18" s="119">
        <f t="shared" si="0"/>
        <v>418100</v>
      </c>
      <c r="L18" s="118">
        <v>0.19</v>
      </c>
      <c r="M18" s="120" t="s">
        <v>50</v>
      </c>
    </row>
    <row r="19" spans="1:13">
      <c r="A19" s="121"/>
      <c r="B19" s="121"/>
      <c r="C19" s="123"/>
      <c r="D19" s="120" t="s">
        <v>51</v>
      </c>
      <c r="E19" s="120" t="s">
        <v>87</v>
      </c>
      <c r="F19" s="120" t="s">
        <v>111</v>
      </c>
      <c r="G19" s="120" t="s">
        <v>156</v>
      </c>
      <c r="I19" s="120" t="s">
        <v>51</v>
      </c>
      <c r="J19" s="120">
        <f t="shared" si="1"/>
        <v>118</v>
      </c>
      <c r="K19" s="119">
        <f t="shared" si="0"/>
        <v>419100</v>
      </c>
      <c r="L19" s="118">
        <v>0.19</v>
      </c>
      <c r="M19" s="120" t="s">
        <v>51</v>
      </c>
    </row>
    <row r="20" spans="1:13">
      <c r="A20" s="124"/>
      <c r="B20" s="121"/>
      <c r="C20" s="123"/>
      <c r="D20" s="120" t="s">
        <v>52</v>
      </c>
      <c r="E20" s="120" t="s">
        <v>88</v>
      </c>
      <c r="F20" s="120" t="s">
        <v>112</v>
      </c>
      <c r="G20" s="120" t="s">
        <v>157</v>
      </c>
      <c r="I20" s="120" t="s">
        <v>52</v>
      </c>
      <c r="J20" s="120">
        <f t="shared" si="1"/>
        <v>119</v>
      </c>
      <c r="K20" s="119">
        <f t="shared" si="0"/>
        <v>426110</v>
      </c>
      <c r="L20" s="118">
        <v>0.19</v>
      </c>
      <c r="M20" s="120" t="s">
        <v>52</v>
      </c>
    </row>
    <row r="21" spans="1:13">
      <c r="A21" s="124"/>
      <c r="B21" s="121"/>
      <c r="C21" s="123"/>
      <c r="D21" s="120" t="s">
        <v>53</v>
      </c>
      <c r="E21" s="120" t="s">
        <v>89</v>
      </c>
      <c r="F21" s="120" t="s">
        <v>113</v>
      </c>
      <c r="G21" s="120" t="s">
        <v>158</v>
      </c>
      <c r="I21" s="120" t="s">
        <v>53</v>
      </c>
      <c r="J21" s="120">
        <f t="shared" si="1"/>
        <v>120</v>
      </c>
      <c r="K21" s="119">
        <f t="shared" si="0"/>
        <v>426210</v>
      </c>
      <c r="L21" s="118">
        <v>0.19</v>
      </c>
      <c r="M21" s="120" t="s">
        <v>53</v>
      </c>
    </row>
    <row r="22" spans="1:13">
      <c r="A22" s="121"/>
      <c r="B22" s="121"/>
      <c r="C22" s="123"/>
      <c r="D22" s="120" t="s">
        <v>54</v>
      </c>
      <c r="E22" s="120" t="s">
        <v>90</v>
      </c>
      <c r="F22" s="120" t="s">
        <v>114</v>
      </c>
      <c r="G22" s="120" t="s">
        <v>159</v>
      </c>
      <c r="I22" s="120" t="s">
        <v>54</v>
      </c>
      <c r="J22" s="120">
        <f t="shared" si="1"/>
        <v>121</v>
      </c>
      <c r="K22" s="119">
        <f t="shared" si="0"/>
        <v>426910</v>
      </c>
      <c r="L22" s="118">
        <v>0.19</v>
      </c>
      <c r="M22" s="120" t="s">
        <v>54</v>
      </c>
    </row>
    <row r="23" spans="1:13">
      <c r="A23" s="121"/>
      <c r="B23" s="121"/>
      <c r="C23" s="123"/>
      <c r="D23" s="120" t="s">
        <v>55</v>
      </c>
      <c r="E23" s="120" t="s">
        <v>299</v>
      </c>
      <c r="F23" s="120" t="s">
        <v>115</v>
      </c>
      <c r="G23" s="120" t="s">
        <v>160</v>
      </c>
      <c r="I23" s="120" t="s">
        <v>55</v>
      </c>
      <c r="J23" s="120">
        <f t="shared" si="1"/>
        <v>122</v>
      </c>
      <c r="K23" s="119">
        <f t="shared" si="0"/>
        <v>427110</v>
      </c>
      <c r="L23" s="118">
        <v>0.19</v>
      </c>
      <c r="M23" s="120" t="s">
        <v>55</v>
      </c>
    </row>
    <row r="24" spans="1:13">
      <c r="A24" s="124"/>
      <c r="B24" s="121"/>
      <c r="C24" s="123"/>
      <c r="D24" s="120" t="s">
        <v>56</v>
      </c>
      <c r="E24" s="120" t="s">
        <v>91</v>
      </c>
      <c r="F24" s="120" t="s">
        <v>116</v>
      </c>
      <c r="G24" s="120" t="s">
        <v>161</v>
      </c>
      <c r="I24" s="120" t="s">
        <v>56</v>
      </c>
      <c r="J24" s="120">
        <f t="shared" si="1"/>
        <v>123</v>
      </c>
      <c r="K24" s="119">
        <f t="shared" si="0"/>
        <v>427210</v>
      </c>
      <c r="L24" s="118">
        <v>0.19</v>
      </c>
      <c r="M24" s="120" t="s">
        <v>56</v>
      </c>
    </row>
    <row r="25" spans="1:13">
      <c r="A25" s="124"/>
      <c r="B25" s="121"/>
      <c r="C25" s="123"/>
      <c r="D25" s="120" t="s">
        <v>57</v>
      </c>
      <c r="E25" s="120" t="s">
        <v>92</v>
      </c>
      <c r="F25" s="120" t="s">
        <v>117</v>
      </c>
      <c r="G25" s="120" t="s">
        <v>162</v>
      </c>
      <c r="I25" s="120" t="s">
        <v>57</v>
      </c>
      <c r="J25" s="120">
        <f t="shared" si="1"/>
        <v>124</v>
      </c>
      <c r="K25" s="119">
        <f t="shared" si="0"/>
        <v>427910</v>
      </c>
      <c r="L25" s="118">
        <v>0.19</v>
      </c>
      <c r="M25" s="120" t="s">
        <v>57</v>
      </c>
    </row>
    <row r="26" spans="1:13">
      <c r="A26" s="124"/>
      <c r="B26" s="121"/>
      <c r="C26" s="123"/>
      <c r="D26" s="120" t="s">
        <v>58</v>
      </c>
      <c r="E26" s="120" t="s">
        <v>70</v>
      </c>
      <c r="F26" s="120" t="s">
        <v>118</v>
      </c>
      <c r="G26" s="120" t="s">
        <v>163</v>
      </c>
      <c r="I26" s="120" t="s">
        <v>58</v>
      </c>
      <c r="J26" s="120">
        <f t="shared" si="1"/>
        <v>125</v>
      </c>
      <c r="K26" s="119">
        <f t="shared" si="0"/>
        <v>431110</v>
      </c>
      <c r="L26" s="118">
        <v>0.19</v>
      </c>
      <c r="M26" s="120" t="s">
        <v>58</v>
      </c>
    </row>
    <row r="27" spans="1:13">
      <c r="A27" s="124"/>
      <c r="B27" s="121"/>
      <c r="C27" s="123"/>
      <c r="D27" s="120" t="s">
        <v>59</v>
      </c>
      <c r="F27" s="120" t="s">
        <v>119</v>
      </c>
      <c r="G27" s="120" t="s">
        <v>164</v>
      </c>
      <c r="I27" s="120" t="s">
        <v>59</v>
      </c>
      <c r="J27" s="120">
        <f t="shared" si="1"/>
        <v>126</v>
      </c>
      <c r="K27" s="119">
        <f t="shared" si="0"/>
        <v>431210</v>
      </c>
      <c r="L27" s="118">
        <v>0.19</v>
      </c>
      <c r="M27" s="120" t="s">
        <v>59</v>
      </c>
    </row>
    <row r="28" spans="1:13">
      <c r="A28" s="124"/>
      <c r="B28" s="121"/>
      <c r="C28" s="123"/>
      <c r="D28" s="120" t="s">
        <v>60</v>
      </c>
      <c r="F28" s="120" t="s">
        <v>120</v>
      </c>
      <c r="G28" s="120" t="s">
        <v>165</v>
      </c>
      <c r="I28" s="120" t="s">
        <v>60</v>
      </c>
      <c r="J28" s="120">
        <f t="shared" si="1"/>
        <v>127</v>
      </c>
      <c r="K28" s="119">
        <f t="shared" si="0"/>
        <v>432110</v>
      </c>
      <c r="L28" s="118">
        <v>0.19</v>
      </c>
      <c r="M28" s="120" t="s">
        <v>60</v>
      </c>
    </row>
    <row r="29" spans="1:13">
      <c r="A29" s="121"/>
      <c r="B29" s="121"/>
      <c r="C29" s="123"/>
      <c r="D29" s="120" t="s">
        <v>61</v>
      </c>
      <c r="F29" s="120" t="s">
        <v>121</v>
      </c>
      <c r="G29" s="120" t="s">
        <v>166</v>
      </c>
      <c r="I29" s="120" t="s">
        <v>61</v>
      </c>
      <c r="J29" s="120">
        <f t="shared" si="1"/>
        <v>128</v>
      </c>
      <c r="K29" s="119">
        <f t="shared" si="0"/>
        <v>433110</v>
      </c>
      <c r="L29" s="118">
        <v>0.19</v>
      </c>
      <c r="M29" s="120" t="s">
        <v>61</v>
      </c>
    </row>
    <row r="30" spans="1:13">
      <c r="A30" s="121"/>
      <c r="B30" s="121"/>
      <c r="C30" s="123"/>
      <c r="D30" s="120" t="s">
        <v>62</v>
      </c>
      <c r="F30" s="120" t="s">
        <v>122</v>
      </c>
      <c r="G30" s="120" t="s">
        <v>167</v>
      </c>
      <c r="I30" s="120" t="s">
        <v>62</v>
      </c>
      <c r="J30" s="120">
        <f t="shared" si="1"/>
        <v>129</v>
      </c>
      <c r="K30" s="119">
        <f t="shared" si="0"/>
        <v>433210</v>
      </c>
      <c r="L30" s="118">
        <v>0.19</v>
      </c>
      <c r="M30" s="120" t="s">
        <v>62</v>
      </c>
    </row>
    <row r="31" spans="1:13">
      <c r="A31" s="124"/>
      <c r="B31" s="121"/>
      <c r="C31" s="123"/>
      <c r="D31" s="120" t="s">
        <v>63</v>
      </c>
      <c r="F31" s="120" t="s">
        <v>123</v>
      </c>
      <c r="G31" s="120" t="s">
        <v>168</v>
      </c>
      <c r="I31" s="120" t="s">
        <v>63</v>
      </c>
      <c r="J31" s="120">
        <f t="shared" si="1"/>
        <v>130</v>
      </c>
      <c r="K31" s="119">
        <f t="shared" si="0"/>
        <v>434010</v>
      </c>
      <c r="L31" s="118">
        <v>0.19</v>
      </c>
      <c r="M31" s="120" t="s">
        <v>63</v>
      </c>
    </row>
    <row r="32" spans="1:13">
      <c r="A32" s="124"/>
      <c r="B32" s="121"/>
      <c r="C32" s="123"/>
      <c r="D32" s="120" t="s">
        <v>64</v>
      </c>
      <c r="F32" s="120" t="s">
        <v>124</v>
      </c>
      <c r="G32" s="120" t="s">
        <v>169</v>
      </c>
      <c r="I32" s="120" t="s">
        <v>64</v>
      </c>
      <c r="J32" s="120">
        <f t="shared" si="1"/>
        <v>131</v>
      </c>
      <c r="K32" s="119">
        <f t="shared" si="0"/>
        <v>435110</v>
      </c>
      <c r="L32" s="118">
        <v>0.19</v>
      </c>
      <c r="M32" s="120" t="s">
        <v>64</v>
      </c>
    </row>
    <row r="33" spans="1:13">
      <c r="A33" s="121"/>
      <c r="B33" s="121"/>
      <c r="C33" s="123"/>
      <c r="D33" s="120" t="s">
        <v>300</v>
      </c>
      <c r="F33" s="120" t="s">
        <v>125</v>
      </c>
      <c r="G33" s="120" t="s">
        <v>170</v>
      </c>
      <c r="I33" s="120" t="s">
        <v>300</v>
      </c>
      <c r="J33" s="120">
        <f t="shared" si="1"/>
        <v>132</v>
      </c>
      <c r="K33" s="119">
        <f t="shared" si="0"/>
        <v>435310</v>
      </c>
      <c r="L33" s="118">
        <v>0.19</v>
      </c>
      <c r="M33" s="120" t="s">
        <v>300</v>
      </c>
    </row>
    <row r="34" spans="1:13">
      <c r="A34" s="124"/>
      <c r="B34" s="121"/>
      <c r="C34" s="123"/>
      <c r="D34" s="120" t="s">
        <v>65</v>
      </c>
      <c r="F34" s="120" t="s">
        <v>126</v>
      </c>
      <c r="G34" s="120" t="s">
        <v>171</v>
      </c>
      <c r="I34" s="120" t="s">
        <v>65</v>
      </c>
      <c r="J34" s="120">
        <f t="shared" si="1"/>
        <v>133</v>
      </c>
      <c r="K34" s="119">
        <f t="shared" si="0"/>
        <v>485010</v>
      </c>
      <c r="L34" s="118">
        <v>0.19</v>
      </c>
      <c r="M34" s="120" t="s">
        <v>65</v>
      </c>
    </row>
    <row r="35" spans="1:13">
      <c r="A35" s="121"/>
      <c r="B35" s="121"/>
      <c r="C35" s="123"/>
      <c r="D35" s="120" t="s">
        <v>301</v>
      </c>
      <c r="F35" s="120" t="s">
        <v>127</v>
      </c>
      <c r="G35" s="120" t="s">
        <v>172</v>
      </c>
      <c r="I35" s="120" t="s">
        <v>301</v>
      </c>
      <c r="J35" s="120">
        <f t="shared" si="1"/>
        <v>134</v>
      </c>
      <c r="K35" s="119">
        <f t="shared" si="0"/>
        <v>531112</v>
      </c>
      <c r="L35" s="118">
        <v>0.19</v>
      </c>
      <c r="M35" s="120" t="s">
        <v>301</v>
      </c>
    </row>
    <row r="36" spans="1:13">
      <c r="A36" s="121"/>
      <c r="B36" s="121"/>
      <c r="C36" s="123"/>
      <c r="D36" s="120" t="s">
        <v>302</v>
      </c>
      <c r="F36" s="120" t="s">
        <v>128</v>
      </c>
      <c r="G36" s="120" t="s">
        <v>173</v>
      </c>
      <c r="I36" s="120" t="s">
        <v>302</v>
      </c>
      <c r="J36" s="120">
        <f t="shared" si="1"/>
        <v>135</v>
      </c>
      <c r="K36" s="119">
        <f t="shared" si="0"/>
        <v>531122</v>
      </c>
      <c r="L36" s="118">
        <v>0.19</v>
      </c>
      <c r="M36" s="120" t="s">
        <v>302</v>
      </c>
    </row>
    <row r="37" spans="1:13">
      <c r="A37" s="124"/>
      <c r="B37" s="121"/>
      <c r="C37" s="123"/>
      <c r="D37" s="120" t="s">
        <v>303</v>
      </c>
      <c r="F37" s="120" t="s">
        <v>129</v>
      </c>
      <c r="G37" s="120" t="s">
        <v>174</v>
      </c>
      <c r="I37" s="120" t="s">
        <v>303</v>
      </c>
      <c r="J37" s="120">
        <f t="shared" si="1"/>
        <v>136</v>
      </c>
      <c r="K37" s="119">
        <f t="shared" si="0"/>
        <v>531131</v>
      </c>
      <c r="L37" s="118">
        <v>0.19</v>
      </c>
      <c r="M37" s="120" t="s">
        <v>303</v>
      </c>
    </row>
    <row r="38" spans="1:13">
      <c r="A38" s="124"/>
      <c r="B38" s="121"/>
      <c r="C38" s="123"/>
      <c r="D38" s="120" t="s">
        <v>34</v>
      </c>
      <c r="F38" s="120" t="s">
        <v>130</v>
      </c>
      <c r="G38" s="120" t="s">
        <v>175</v>
      </c>
      <c r="I38" s="120" t="s">
        <v>304</v>
      </c>
      <c r="J38" s="120">
        <f t="shared" si="1"/>
        <v>137</v>
      </c>
      <c r="K38" s="119">
        <f t="shared" si="0"/>
        <v>531411</v>
      </c>
      <c r="L38" s="118">
        <v>0.19</v>
      </c>
      <c r="M38" s="120" t="s">
        <v>304</v>
      </c>
    </row>
    <row r="39" spans="1:13">
      <c r="A39" s="124"/>
      <c r="B39" s="121"/>
      <c r="C39" s="123"/>
      <c r="D39" s="120" t="s">
        <v>35</v>
      </c>
      <c r="F39" s="120" t="s">
        <v>131</v>
      </c>
      <c r="G39" s="120" t="s">
        <v>176</v>
      </c>
      <c r="I39" s="120" t="s">
        <v>305</v>
      </c>
      <c r="J39" s="120">
        <f t="shared" si="1"/>
        <v>138</v>
      </c>
      <c r="K39" s="119">
        <f t="shared" si="0"/>
        <v>531421</v>
      </c>
      <c r="L39" s="118">
        <v>0.19</v>
      </c>
      <c r="M39" s="120" t="s">
        <v>305</v>
      </c>
    </row>
    <row r="40" spans="1:13">
      <c r="A40" s="121"/>
      <c r="B40" s="121"/>
      <c r="C40" s="123"/>
      <c r="D40" s="120" t="s">
        <v>36</v>
      </c>
      <c r="F40" s="120" t="s">
        <v>132</v>
      </c>
      <c r="G40" s="120" t="s">
        <v>177</v>
      </c>
      <c r="I40" s="120" t="s">
        <v>306</v>
      </c>
      <c r="J40" s="120">
        <f t="shared" si="1"/>
        <v>139</v>
      </c>
      <c r="K40" s="119">
        <f t="shared" si="0"/>
        <v>531431</v>
      </c>
      <c r="L40" s="118">
        <v>0.19</v>
      </c>
      <c r="M40" s="120" t="s">
        <v>306</v>
      </c>
    </row>
    <row r="41" spans="1:13">
      <c r="A41" s="124"/>
      <c r="B41" s="121"/>
      <c r="C41" s="123"/>
      <c r="D41" s="120" t="s">
        <v>37</v>
      </c>
      <c r="F41" s="120" t="s">
        <v>133</v>
      </c>
      <c r="G41" s="120" t="s">
        <v>178</v>
      </c>
      <c r="I41" s="120" t="s">
        <v>66</v>
      </c>
      <c r="J41" s="120">
        <f t="shared" si="1"/>
        <v>140</v>
      </c>
      <c r="K41" s="119">
        <f t="shared" si="0"/>
        <v>531910</v>
      </c>
      <c r="L41" s="118">
        <v>0.19</v>
      </c>
      <c r="M41" s="120" t="s">
        <v>66</v>
      </c>
    </row>
    <row r="42" spans="1:13">
      <c r="A42" s="124"/>
      <c r="B42" s="121"/>
      <c r="C42" s="123"/>
      <c r="D42" s="120" t="s">
        <v>38</v>
      </c>
      <c r="F42" s="120" t="s">
        <v>134</v>
      </c>
      <c r="G42" s="120" t="s">
        <v>179</v>
      </c>
      <c r="I42" s="120" t="s">
        <v>67</v>
      </c>
      <c r="J42" s="120">
        <f t="shared" si="1"/>
        <v>141</v>
      </c>
      <c r="K42" s="119">
        <f t="shared" si="0"/>
        <v>538010</v>
      </c>
      <c r="L42" s="118">
        <v>0.19</v>
      </c>
      <c r="M42" s="120" t="s">
        <v>67</v>
      </c>
    </row>
    <row r="43" spans="1:13">
      <c r="A43" s="124"/>
      <c r="B43" s="121"/>
      <c r="C43" s="123"/>
      <c r="D43" s="120" t="s">
        <v>39</v>
      </c>
      <c r="F43" s="120" t="s">
        <v>135</v>
      </c>
      <c r="G43" s="120" t="s">
        <v>180</v>
      </c>
      <c r="I43" s="120" t="s">
        <v>68</v>
      </c>
      <c r="J43" s="120">
        <f t="shared" si="1"/>
        <v>142</v>
      </c>
      <c r="K43" s="119">
        <f t="shared" si="0"/>
        <v>539910</v>
      </c>
      <c r="L43" s="118">
        <v>0.19</v>
      </c>
      <c r="M43" s="120" t="s">
        <v>68</v>
      </c>
    </row>
    <row r="44" spans="1:13">
      <c r="A44" s="121"/>
      <c r="B44" s="121"/>
      <c r="C44" s="123"/>
      <c r="D44" s="120" t="s">
        <v>40</v>
      </c>
      <c r="F44" s="120" t="s">
        <v>136</v>
      </c>
      <c r="G44" s="120" t="s">
        <v>181</v>
      </c>
      <c r="I44" s="120" t="s">
        <v>69</v>
      </c>
      <c r="J44" s="120">
        <f t="shared" si="1"/>
        <v>143</v>
      </c>
      <c r="K44" s="119">
        <f t="shared" si="0"/>
        <v>599910</v>
      </c>
      <c r="L44" s="118">
        <v>0.19</v>
      </c>
      <c r="M44" s="120" t="s">
        <v>69</v>
      </c>
    </row>
    <row r="45" spans="1:13">
      <c r="A45" s="124"/>
      <c r="B45" s="121"/>
      <c r="C45" s="123"/>
      <c r="F45" s="120" t="s">
        <v>137</v>
      </c>
      <c r="G45" s="120" t="s">
        <v>182</v>
      </c>
      <c r="I45" s="120" t="s">
        <v>70</v>
      </c>
      <c r="J45" s="120">
        <f t="shared" si="1"/>
        <v>144</v>
      </c>
      <c r="K45" s="119">
        <f t="shared" si="0"/>
        <v>401320</v>
      </c>
      <c r="L45" s="118">
        <v>7.0000000000000007E-2</v>
      </c>
      <c r="M45" s="120" t="s">
        <v>70</v>
      </c>
    </row>
    <row r="46" spans="1:13">
      <c r="A46" s="124"/>
      <c r="B46" s="121"/>
      <c r="C46" s="123"/>
      <c r="F46" s="120" t="s">
        <v>138</v>
      </c>
      <c r="G46" s="120" t="s">
        <v>183</v>
      </c>
      <c r="I46" s="120" t="s">
        <v>71</v>
      </c>
      <c r="J46" s="120">
        <f t="shared" si="1"/>
        <v>145</v>
      </c>
      <c r="K46" s="119">
        <f t="shared" si="0"/>
        <v>401352</v>
      </c>
      <c r="L46" s="118">
        <v>7.0000000000000007E-2</v>
      </c>
      <c r="M46" s="120" t="s">
        <v>71</v>
      </c>
    </row>
    <row r="47" spans="1:13">
      <c r="A47" s="124"/>
      <c r="B47" s="121"/>
      <c r="C47" s="123"/>
      <c r="G47" s="120" t="s">
        <v>184</v>
      </c>
      <c r="I47" s="120" t="s">
        <v>72</v>
      </c>
      <c r="J47" s="120">
        <f t="shared" si="1"/>
        <v>146</v>
      </c>
      <c r="K47" s="119">
        <f t="shared" si="0"/>
        <v>401420</v>
      </c>
      <c r="L47" s="118">
        <v>7.0000000000000007E-2</v>
      </c>
      <c r="M47" s="120" t="s">
        <v>72</v>
      </c>
    </row>
    <row r="48" spans="1:13">
      <c r="A48" s="121"/>
      <c r="B48" s="121"/>
      <c r="C48" s="123"/>
      <c r="G48" s="120" t="s">
        <v>185</v>
      </c>
      <c r="I48" s="120" t="s">
        <v>73</v>
      </c>
      <c r="J48" s="120">
        <f t="shared" si="1"/>
        <v>147</v>
      </c>
      <c r="K48" s="119">
        <f t="shared" si="0"/>
        <v>401520</v>
      </c>
      <c r="L48" s="118">
        <v>7.0000000000000007E-2</v>
      </c>
      <c r="M48" s="120" t="s">
        <v>73</v>
      </c>
    </row>
    <row r="49" spans="1:13">
      <c r="A49" s="124"/>
      <c r="B49" s="121"/>
      <c r="C49" s="123"/>
      <c r="G49" s="120" t="s">
        <v>186</v>
      </c>
      <c r="I49" s="120" t="s">
        <v>74</v>
      </c>
      <c r="J49" s="120">
        <f t="shared" si="1"/>
        <v>148</v>
      </c>
      <c r="K49" s="119">
        <f t="shared" si="0"/>
        <v>402050</v>
      </c>
      <c r="L49" s="118">
        <v>7.0000000000000007E-2</v>
      </c>
      <c r="M49" s="120" t="s">
        <v>74</v>
      </c>
    </row>
    <row r="50" spans="1:13">
      <c r="A50" s="124"/>
      <c r="B50" s="121"/>
      <c r="C50" s="123"/>
      <c r="G50" s="120" t="s">
        <v>187</v>
      </c>
      <c r="I50" s="120" t="s">
        <v>75</v>
      </c>
      <c r="J50" s="120">
        <f t="shared" si="1"/>
        <v>149</v>
      </c>
      <c r="K50" s="119">
        <f t="shared" si="0"/>
        <v>403220</v>
      </c>
      <c r="L50" s="118">
        <v>7.0000000000000007E-2</v>
      </c>
      <c r="M50" s="120" t="s">
        <v>75</v>
      </c>
    </row>
    <row r="51" spans="1:13">
      <c r="A51" s="121"/>
      <c r="B51" s="121"/>
      <c r="C51" s="123"/>
      <c r="G51" s="120" t="s">
        <v>188</v>
      </c>
      <c r="I51" s="120" t="s">
        <v>76</v>
      </c>
      <c r="J51" s="120">
        <f t="shared" si="1"/>
        <v>150</v>
      </c>
      <c r="K51" s="119">
        <f t="shared" si="0"/>
        <v>411200</v>
      </c>
      <c r="L51" s="118">
        <v>7.0000000000000007E-2</v>
      </c>
      <c r="M51" s="120" t="s">
        <v>76</v>
      </c>
    </row>
    <row r="52" spans="1:13">
      <c r="A52" s="124"/>
      <c r="B52" s="121"/>
      <c r="C52" s="123"/>
      <c r="G52" s="120" t="s">
        <v>189</v>
      </c>
      <c r="I52" s="120" t="s">
        <v>77</v>
      </c>
      <c r="J52" s="120">
        <f t="shared" si="1"/>
        <v>151</v>
      </c>
      <c r="K52" s="119">
        <f t="shared" si="0"/>
        <v>412200</v>
      </c>
      <c r="L52" s="118">
        <v>7.0000000000000007E-2</v>
      </c>
      <c r="M52" s="120" t="s">
        <v>77</v>
      </c>
    </row>
    <row r="53" spans="1:13">
      <c r="A53" s="124"/>
      <c r="B53" s="121"/>
      <c r="C53" s="123"/>
      <c r="G53" s="120" t="s">
        <v>190</v>
      </c>
      <c r="I53" s="120" t="s">
        <v>78</v>
      </c>
      <c r="J53" s="120">
        <f t="shared" si="1"/>
        <v>152</v>
      </c>
      <c r="K53" s="119">
        <f t="shared" si="0"/>
        <v>413200</v>
      </c>
      <c r="L53" s="118">
        <v>7.0000000000000007E-2</v>
      </c>
      <c r="M53" s="120" t="s">
        <v>78</v>
      </c>
    </row>
    <row r="54" spans="1:13">
      <c r="A54" s="124"/>
      <c r="B54" s="121"/>
      <c r="C54" s="123"/>
      <c r="G54" s="120" t="s">
        <v>191</v>
      </c>
      <c r="I54" s="120" t="s">
        <v>79</v>
      </c>
      <c r="J54" s="120">
        <f t="shared" si="1"/>
        <v>153</v>
      </c>
      <c r="K54" s="119">
        <f t="shared" si="0"/>
        <v>414200</v>
      </c>
      <c r="L54" s="118">
        <v>7.0000000000000007E-2</v>
      </c>
      <c r="M54" s="120" t="s">
        <v>79</v>
      </c>
    </row>
    <row r="55" spans="1:13">
      <c r="A55" s="121"/>
      <c r="B55" s="121"/>
      <c r="C55" s="123"/>
      <c r="G55" s="120" t="s">
        <v>192</v>
      </c>
      <c r="I55" s="120" t="s">
        <v>80</v>
      </c>
      <c r="J55" s="120">
        <f t="shared" si="1"/>
        <v>154</v>
      </c>
      <c r="K55" s="119">
        <f t="shared" si="0"/>
        <v>415200</v>
      </c>
      <c r="L55" s="118">
        <v>7.0000000000000007E-2</v>
      </c>
      <c r="M55" s="120" t="s">
        <v>80</v>
      </c>
    </row>
    <row r="56" spans="1:13">
      <c r="A56" s="124"/>
      <c r="B56" s="121"/>
      <c r="C56" s="123"/>
      <c r="G56" s="120" t="s">
        <v>193</v>
      </c>
      <c r="I56" s="120" t="s">
        <v>81</v>
      </c>
      <c r="J56" s="120">
        <f t="shared" si="1"/>
        <v>155</v>
      </c>
      <c r="K56" s="119">
        <f t="shared" si="0"/>
        <v>415520</v>
      </c>
      <c r="L56" s="118">
        <v>7.0000000000000007E-2</v>
      </c>
      <c r="M56" s="120" t="s">
        <v>81</v>
      </c>
    </row>
    <row r="57" spans="1:13">
      <c r="A57" s="124"/>
      <c r="B57" s="121"/>
      <c r="C57" s="123"/>
      <c r="G57" s="120" t="s">
        <v>194</v>
      </c>
      <c r="I57" s="120" t="s">
        <v>82</v>
      </c>
      <c r="J57" s="120">
        <f t="shared" si="1"/>
        <v>156</v>
      </c>
      <c r="K57" s="119">
        <f t="shared" si="0"/>
        <v>416200</v>
      </c>
      <c r="L57" s="118">
        <v>7.0000000000000007E-2</v>
      </c>
      <c r="M57" s="120" t="s">
        <v>82</v>
      </c>
    </row>
    <row r="58" spans="1:13">
      <c r="A58" s="124"/>
      <c r="B58" s="121"/>
      <c r="C58" s="123"/>
      <c r="G58" s="120" t="s">
        <v>195</v>
      </c>
      <c r="I58" s="120" t="s">
        <v>83</v>
      </c>
      <c r="J58" s="120">
        <f t="shared" si="1"/>
        <v>157</v>
      </c>
      <c r="K58" s="119">
        <f t="shared" si="0"/>
        <v>417200</v>
      </c>
      <c r="L58" s="118">
        <v>7.0000000000000007E-2</v>
      </c>
      <c r="M58" s="120" t="s">
        <v>83</v>
      </c>
    </row>
    <row r="59" spans="1:13">
      <c r="A59" s="124"/>
      <c r="B59" s="121"/>
      <c r="C59" s="123"/>
      <c r="G59" s="120" t="s">
        <v>196</v>
      </c>
      <c r="I59" s="120" t="s">
        <v>84</v>
      </c>
      <c r="J59" s="120">
        <f t="shared" si="1"/>
        <v>158</v>
      </c>
      <c r="K59" s="119">
        <f t="shared" si="0"/>
        <v>418200</v>
      </c>
      <c r="L59" s="118">
        <v>7.0000000000000007E-2</v>
      </c>
      <c r="M59" s="120" t="s">
        <v>84</v>
      </c>
    </row>
    <row r="60" spans="1:13">
      <c r="A60" s="124"/>
      <c r="B60" s="121"/>
      <c r="C60" s="123"/>
      <c r="G60" s="120" t="s">
        <v>197</v>
      </c>
      <c r="I60" s="120" t="s">
        <v>85</v>
      </c>
      <c r="J60" s="120">
        <f t="shared" si="1"/>
        <v>159</v>
      </c>
      <c r="K60" s="119">
        <f t="shared" si="0"/>
        <v>419200</v>
      </c>
      <c r="L60" s="118">
        <v>7.0000000000000007E-2</v>
      </c>
      <c r="M60" s="120" t="s">
        <v>85</v>
      </c>
    </row>
    <row r="61" spans="1:13">
      <c r="A61" s="124"/>
      <c r="B61" s="121"/>
      <c r="C61" s="123"/>
      <c r="G61" s="120" t="s">
        <v>198</v>
      </c>
      <c r="I61" s="120" t="s">
        <v>86</v>
      </c>
      <c r="J61" s="120">
        <f t="shared" si="1"/>
        <v>160</v>
      </c>
      <c r="K61" s="119">
        <f t="shared" si="0"/>
        <v>427130</v>
      </c>
      <c r="L61" s="118">
        <v>7.0000000000000007E-2</v>
      </c>
      <c r="M61" s="120" t="s">
        <v>86</v>
      </c>
    </row>
    <row r="62" spans="1:13">
      <c r="A62" s="121"/>
      <c r="B62" s="121"/>
      <c r="C62" s="123"/>
      <c r="G62" s="120" t="s">
        <v>199</v>
      </c>
      <c r="I62" s="120" t="s">
        <v>87</v>
      </c>
      <c r="J62" s="120">
        <f t="shared" si="1"/>
        <v>161</v>
      </c>
      <c r="K62" s="119">
        <f t="shared" si="0"/>
        <v>427230</v>
      </c>
      <c r="L62" s="118">
        <v>7.0000000000000007E-2</v>
      </c>
      <c r="M62" s="120" t="s">
        <v>87</v>
      </c>
    </row>
    <row r="63" spans="1:13">
      <c r="A63" s="124"/>
      <c r="B63" s="121"/>
      <c r="C63" s="123"/>
      <c r="G63" s="120" t="s">
        <v>200</v>
      </c>
      <c r="I63" s="120" t="s">
        <v>88</v>
      </c>
      <c r="J63" s="120">
        <f t="shared" si="1"/>
        <v>162</v>
      </c>
      <c r="K63" s="119">
        <f t="shared" si="0"/>
        <v>427930</v>
      </c>
      <c r="L63" s="118">
        <v>7.0000000000000007E-2</v>
      </c>
      <c r="M63" s="120" t="s">
        <v>88</v>
      </c>
    </row>
    <row r="64" spans="1:13">
      <c r="A64" s="124"/>
      <c r="B64" s="121"/>
      <c r="C64" s="123"/>
      <c r="G64" s="120" t="s">
        <v>201</v>
      </c>
      <c r="I64" s="120" t="s">
        <v>89</v>
      </c>
      <c r="J64" s="120">
        <f t="shared" si="1"/>
        <v>163</v>
      </c>
      <c r="K64" s="119">
        <f t="shared" si="0"/>
        <v>431220</v>
      </c>
      <c r="L64" s="118">
        <v>7.0000000000000007E-2</v>
      </c>
      <c r="M64" s="120" t="s">
        <v>89</v>
      </c>
    </row>
    <row r="65" spans="1:13">
      <c r="A65" s="124"/>
      <c r="B65" s="121"/>
      <c r="C65" s="123"/>
      <c r="G65" s="120" t="s">
        <v>202</v>
      </c>
      <c r="I65" s="120" t="s">
        <v>90</v>
      </c>
      <c r="J65" s="120">
        <f t="shared" si="1"/>
        <v>164</v>
      </c>
      <c r="K65" s="119">
        <f t="shared" si="0"/>
        <v>531920</v>
      </c>
      <c r="L65" s="118">
        <v>7.0000000000000007E-2</v>
      </c>
      <c r="M65" s="120" t="s">
        <v>90</v>
      </c>
    </row>
    <row r="66" spans="1:13">
      <c r="A66" s="121"/>
      <c r="B66" s="121"/>
      <c r="C66" s="123"/>
      <c r="G66" s="120" t="s">
        <v>203</v>
      </c>
      <c r="I66" s="120" t="s">
        <v>299</v>
      </c>
      <c r="J66" s="120">
        <f t="shared" si="1"/>
        <v>165</v>
      </c>
      <c r="K66" s="119">
        <f t="shared" si="0"/>
        <v>531123</v>
      </c>
      <c r="L66" s="118">
        <v>7.0000000000000007E-2</v>
      </c>
      <c r="M66" s="120" t="s">
        <v>299</v>
      </c>
    </row>
    <row r="67" spans="1:13">
      <c r="A67" s="124"/>
      <c r="B67" s="121"/>
      <c r="C67" s="123"/>
      <c r="G67" s="120" t="s">
        <v>204</v>
      </c>
      <c r="I67" s="120" t="s">
        <v>91</v>
      </c>
      <c r="J67" s="120">
        <f t="shared" si="1"/>
        <v>166</v>
      </c>
      <c r="K67" s="119">
        <f t="shared" ref="K67:K130" si="2">LEFT(I67,6)*1</f>
        <v>538020</v>
      </c>
      <c r="L67" s="118">
        <v>7.0000000000000007E-2</v>
      </c>
      <c r="M67" s="120" t="s">
        <v>91</v>
      </c>
    </row>
    <row r="68" spans="1:13">
      <c r="A68" s="124"/>
      <c r="B68" s="121"/>
      <c r="C68" s="123"/>
      <c r="G68" s="120" t="s">
        <v>205</v>
      </c>
      <c r="I68" s="120" t="s">
        <v>92</v>
      </c>
      <c r="J68" s="120">
        <f t="shared" ref="J68:J131" si="3">J67+1</f>
        <v>167</v>
      </c>
      <c r="K68" s="119">
        <f t="shared" si="2"/>
        <v>539920</v>
      </c>
      <c r="L68" s="118">
        <v>7.0000000000000007E-2</v>
      </c>
      <c r="M68" s="120" t="s">
        <v>92</v>
      </c>
    </row>
    <row r="69" spans="1:13">
      <c r="A69" s="124"/>
      <c r="B69" s="121"/>
      <c r="C69" s="123"/>
      <c r="G69" s="120" t="s">
        <v>206</v>
      </c>
      <c r="I69" s="120" t="s">
        <v>93</v>
      </c>
      <c r="J69" s="120">
        <f t="shared" si="3"/>
        <v>168</v>
      </c>
      <c r="K69" s="119">
        <f t="shared" si="2"/>
        <v>599920</v>
      </c>
      <c r="L69" s="118">
        <v>7.0000000000000007E-2</v>
      </c>
      <c r="M69" s="120" t="s">
        <v>93</v>
      </c>
    </row>
    <row r="70" spans="1:13">
      <c r="A70" s="121"/>
      <c r="B70" s="121"/>
      <c r="C70" s="123"/>
      <c r="G70" s="120" t="s">
        <v>207</v>
      </c>
      <c r="I70" s="120" t="s">
        <v>94</v>
      </c>
      <c r="J70" s="120">
        <f t="shared" si="3"/>
        <v>169</v>
      </c>
      <c r="K70" s="119">
        <f t="shared" si="2"/>
        <v>401210</v>
      </c>
      <c r="L70" s="118">
        <v>0</v>
      </c>
      <c r="M70" s="120" t="s">
        <v>94</v>
      </c>
    </row>
    <row r="71" spans="1:13">
      <c r="A71" s="124"/>
      <c r="B71" s="121"/>
      <c r="C71" s="123"/>
      <c r="G71" s="120" t="s">
        <v>208</v>
      </c>
      <c r="I71" s="120" t="s">
        <v>307</v>
      </c>
      <c r="J71" s="120">
        <f t="shared" si="3"/>
        <v>170</v>
      </c>
      <c r="K71" s="119">
        <f t="shared" si="2"/>
        <v>401300</v>
      </c>
      <c r="L71" s="118">
        <v>0</v>
      </c>
      <c r="M71" s="120" t="s">
        <v>307</v>
      </c>
    </row>
    <row r="72" spans="1:13">
      <c r="A72" s="124"/>
      <c r="B72" s="121"/>
      <c r="C72" s="123"/>
      <c r="G72" s="120" t="s">
        <v>209</v>
      </c>
      <c r="I72" s="120" t="s">
        <v>95</v>
      </c>
      <c r="J72" s="120">
        <f t="shared" si="3"/>
        <v>171</v>
      </c>
      <c r="K72" s="119">
        <f t="shared" si="2"/>
        <v>401330</v>
      </c>
      <c r="L72" s="118">
        <v>0</v>
      </c>
      <c r="M72" s="120" t="s">
        <v>95</v>
      </c>
    </row>
    <row r="73" spans="1:13">
      <c r="A73" s="124"/>
      <c r="B73" s="121"/>
      <c r="C73" s="123"/>
      <c r="G73" s="120" t="s">
        <v>210</v>
      </c>
      <c r="I73" s="120" t="s">
        <v>96</v>
      </c>
      <c r="J73" s="120">
        <f t="shared" si="3"/>
        <v>172</v>
      </c>
      <c r="K73" s="119">
        <f t="shared" si="2"/>
        <v>401353</v>
      </c>
      <c r="L73" s="118">
        <v>0</v>
      </c>
      <c r="M73" s="120" t="s">
        <v>96</v>
      </c>
    </row>
    <row r="74" spans="1:13">
      <c r="A74" s="121"/>
      <c r="B74" s="121"/>
      <c r="C74" s="123"/>
      <c r="G74" s="120" t="s">
        <v>211</v>
      </c>
      <c r="I74" s="120" t="s">
        <v>97</v>
      </c>
      <c r="J74" s="120">
        <f t="shared" si="3"/>
        <v>173</v>
      </c>
      <c r="K74" s="119">
        <f t="shared" si="2"/>
        <v>401430</v>
      </c>
      <c r="L74" s="118">
        <v>0</v>
      </c>
      <c r="M74" s="120" t="s">
        <v>97</v>
      </c>
    </row>
    <row r="75" spans="1:13">
      <c r="A75" s="124"/>
      <c r="B75" s="121"/>
      <c r="C75" s="123"/>
      <c r="G75" s="120" t="s">
        <v>212</v>
      </c>
      <c r="I75" s="120" t="s">
        <v>98</v>
      </c>
      <c r="J75" s="120">
        <f t="shared" si="3"/>
        <v>174</v>
      </c>
      <c r="K75" s="119">
        <f t="shared" si="2"/>
        <v>401530</v>
      </c>
      <c r="L75" s="118">
        <v>0</v>
      </c>
      <c r="M75" s="120" t="s">
        <v>98</v>
      </c>
    </row>
    <row r="76" spans="1:13">
      <c r="A76" s="124"/>
      <c r="B76" s="121"/>
      <c r="C76" s="123"/>
      <c r="G76" s="120" t="s">
        <v>213</v>
      </c>
      <c r="I76" s="120" t="s">
        <v>99</v>
      </c>
      <c r="J76" s="120">
        <f t="shared" si="3"/>
        <v>175</v>
      </c>
      <c r="K76" s="119">
        <f t="shared" si="2"/>
        <v>401930</v>
      </c>
      <c r="L76" s="118">
        <v>0</v>
      </c>
      <c r="M76" s="120" t="s">
        <v>99</v>
      </c>
    </row>
    <row r="77" spans="1:13">
      <c r="A77" s="121"/>
      <c r="B77" s="121"/>
      <c r="C77" s="123"/>
      <c r="G77" s="120" t="s">
        <v>214</v>
      </c>
      <c r="I77" s="120" t="s">
        <v>100</v>
      </c>
      <c r="J77" s="120">
        <f t="shared" si="3"/>
        <v>176</v>
      </c>
      <c r="K77" s="119">
        <f t="shared" si="2"/>
        <v>402030</v>
      </c>
      <c r="L77" s="118">
        <v>0</v>
      </c>
      <c r="M77" s="120" t="s">
        <v>100</v>
      </c>
    </row>
    <row r="78" spans="1:13">
      <c r="A78" s="124"/>
      <c r="B78" s="121"/>
      <c r="C78" s="123"/>
      <c r="G78" s="120" t="s">
        <v>215</v>
      </c>
      <c r="I78" s="120" t="s">
        <v>101</v>
      </c>
      <c r="J78" s="120">
        <f t="shared" si="3"/>
        <v>177</v>
      </c>
      <c r="K78" s="119">
        <f t="shared" si="2"/>
        <v>402060</v>
      </c>
      <c r="L78" s="118">
        <v>0</v>
      </c>
      <c r="M78" s="120" t="s">
        <v>101</v>
      </c>
    </row>
    <row r="79" spans="1:13">
      <c r="A79" s="124"/>
      <c r="B79" s="121"/>
      <c r="C79" s="123"/>
      <c r="G79" s="120" t="s">
        <v>216</v>
      </c>
      <c r="I79" s="120" t="s">
        <v>102</v>
      </c>
      <c r="J79" s="120">
        <f t="shared" si="3"/>
        <v>178</v>
      </c>
      <c r="K79" s="119">
        <f t="shared" si="2"/>
        <v>403330</v>
      </c>
      <c r="L79" s="118">
        <v>0</v>
      </c>
      <c r="M79" s="120" t="s">
        <v>102</v>
      </c>
    </row>
    <row r="80" spans="1:13">
      <c r="A80" s="121"/>
      <c r="B80" s="121"/>
      <c r="C80" s="123"/>
      <c r="G80" s="120" t="s">
        <v>217</v>
      </c>
      <c r="I80" s="120" t="s">
        <v>103</v>
      </c>
      <c r="J80" s="120">
        <f t="shared" si="3"/>
        <v>179</v>
      </c>
      <c r="K80" s="119">
        <f t="shared" si="2"/>
        <v>411300</v>
      </c>
      <c r="L80" s="118">
        <v>0</v>
      </c>
      <c r="M80" s="120" t="s">
        <v>103</v>
      </c>
    </row>
    <row r="81" spans="1:13">
      <c r="A81" s="124"/>
      <c r="B81" s="121"/>
      <c r="C81" s="123"/>
      <c r="G81" s="120" t="s">
        <v>218</v>
      </c>
      <c r="I81" s="120" t="s">
        <v>104</v>
      </c>
      <c r="J81" s="120">
        <f t="shared" si="3"/>
        <v>180</v>
      </c>
      <c r="K81" s="119">
        <f t="shared" si="2"/>
        <v>412300</v>
      </c>
      <c r="L81" s="118">
        <v>0</v>
      </c>
      <c r="M81" s="120" t="s">
        <v>104</v>
      </c>
    </row>
    <row r="82" spans="1:13">
      <c r="A82" s="124"/>
      <c r="B82" s="121"/>
      <c r="C82" s="123"/>
      <c r="G82" s="120" t="s">
        <v>219</v>
      </c>
      <c r="I82" s="120" t="s">
        <v>105</v>
      </c>
      <c r="J82" s="120">
        <f t="shared" si="3"/>
        <v>181</v>
      </c>
      <c r="K82" s="119">
        <f t="shared" si="2"/>
        <v>413300</v>
      </c>
      <c r="L82" s="118">
        <v>0</v>
      </c>
      <c r="M82" s="120" t="s">
        <v>105</v>
      </c>
    </row>
    <row r="83" spans="1:13">
      <c r="A83" s="121"/>
      <c r="B83" s="121"/>
      <c r="C83" s="123"/>
      <c r="G83" s="120" t="s">
        <v>220</v>
      </c>
      <c r="I83" s="120" t="s">
        <v>308</v>
      </c>
      <c r="J83" s="120">
        <f t="shared" si="3"/>
        <v>182</v>
      </c>
      <c r="K83" s="119">
        <f t="shared" si="2"/>
        <v>414300</v>
      </c>
      <c r="L83" s="118">
        <v>0</v>
      </c>
      <c r="M83" s="120" t="s">
        <v>308</v>
      </c>
    </row>
    <row r="84" spans="1:13">
      <c r="A84" s="124"/>
      <c r="B84" s="121"/>
      <c r="C84" s="123"/>
      <c r="G84" s="120" t="s">
        <v>221</v>
      </c>
      <c r="I84" s="120" t="s">
        <v>106</v>
      </c>
      <c r="J84" s="120">
        <f t="shared" si="3"/>
        <v>183</v>
      </c>
      <c r="K84" s="119">
        <f t="shared" si="2"/>
        <v>415300</v>
      </c>
      <c r="L84" s="118">
        <v>0</v>
      </c>
      <c r="M84" s="120" t="s">
        <v>106</v>
      </c>
    </row>
    <row r="85" spans="1:13">
      <c r="A85" s="124"/>
      <c r="B85" s="121"/>
      <c r="C85" s="123"/>
      <c r="G85" s="120" t="s">
        <v>222</v>
      </c>
      <c r="I85" s="120" t="s">
        <v>107</v>
      </c>
      <c r="J85" s="120">
        <f t="shared" si="3"/>
        <v>184</v>
      </c>
      <c r="K85" s="119">
        <f t="shared" si="2"/>
        <v>415530</v>
      </c>
      <c r="L85" s="118">
        <v>0</v>
      </c>
      <c r="M85" s="120" t="s">
        <v>107</v>
      </c>
    </row>
    <row r="86" spans="1:13">
      <c r="A86" s="124"/>
      <c r="B86" s="121"/>
      <c r="C86" s="123"/>
      <c r="G86" s="120" t="s">
        <v>223</v>
      </c>
      <c r="I86" s="120" t="s">
        <v>108</v>
      </c>
      <c r="J86" s="120">
        <f t="shared" si="3"/>
        <v>185</v>
      </c>
      <c r="K86" s="119">
        <f t="shared" si="2"/>
        <v>416300</v>
      </c>
      <c r="L86" s="118">
        <v>0</v>
      </c>
      <c r="M86" s="120" t="s">
        <v>108</v>
      </c>
    </row>
    <row r="87" spans="1:13">
      <c r="A87" s="121"/>
      <c r="B87" s="121"/>
      <c r="C87" s="123"/>
      <c r="G87" s="120" t="s">
        <v>224</v>
      </c>
      <c r="I87" s="120" t="s">
        <v>109</v>
      </c>
      <c r="J87" s="120">
        <f t="shared" si="3"/>
        <v>186</v>
      </c>
      <c r="K87" s="119">
        <f t="shared" si="2"/>
        <v>417300</v>
      </c>
      <c r="L87" s="118">
        <v>0</v>
      </c>
      <c r="M87" s="120" t="s">
        <v>109</v>
      </c>
    </row>
    <row r="88" spans="1:13">
      <c r="A88" s="124"/>
      <c r="B88" s="121"/>
      <c r="C88" s="123"/>
      <c r="G88" s="120" t="s">
        <v>225</v>
      </c>
      <c r="I88" s="120" t="s">
        <v>110</v>
      </c>
      <c r="J88" s="120">
        <f t="shared" si="3"/>
        <v>187</v>
      </c>
      <c r="K88" s="119">
        <f t="shared" si="2"/>
        <v>418300</v>
      </c>
      <c r="L88" s="118">
        <v>0</v>
      </c>
      <c r="M88" s="120" t="s">
        <v>110</v>
      </c>
    </row>
    <row r="89" spans="1:13">
      <c r="A89" s="124"/>
      <c r="B89" s="121"/>
      <c r="C89" s="123"/>
      <c r="G89" s="120" t="s">
        <v>226</v>
      </c>
      <c r="I89" s="120" t="s">
        <v>111</v>
      </c>
      <c r="J89" s="120">
        <f t="shared" si="3"/>
        <v>188</v>
      </c>
      <c r="K89" s="119">
        <f t="shared" si="2"/>
        <v>419300</v>
      </c>
      <c r="L89" s="118">
        <v>0</v>
      </c>
      <c r="M89" s="120" t="s">
        <v>111</v>
      </c>
    </row>
    <row r="90" spans="1:13">
      <c r="A90" s="124"/>
      <c r="B90" s="121"/>
      <c r="C90" s="123"/>
      <c r="G90" s="120" t="s">
        <v>227</v>
      </c>
      <c r="I90" s="120" t="s">
        <v>309</v>
      </c>
      <c r="J90" s="120">
        <f t="shared" si="3"/>
        <v>189</v>
      </c>
      <c r="K90" s="119">
        <f t="shared" si="2"/>
        <v>421900</v>
      </c>
      <c r="L90" s="118">
        <v>0</v>
      </c>
      <c r="M90" s="120" t="s">
        <v>309</v>
      </c>
    </row>
    <row r="91" spans="1:13">
      <c r="A91" s="121"/>
      <c r="B91" s="121"/>
      <c r="C91" s="123"/>
      <c r="G91" s="120" t="s">
        <v>228</v>
      </c>
      <c r="I91" s="120" t="s">
        <v>112</v>
      </c>
      <c r="J91" s="120">
        <f t="shared" si="3"/>
        <v>190</v>
      </c>
      <c r="K91" s="119">
        <f t="shared" si="2"/>
        <v>426130</v>
      </c>
      <c r="L91" s="118">
        <v>0</v>
      </c>
      <c r="M91" s="120" t="s">
        <v>112</v>
      </c>
    </row>
    <row r="92" spans="1:13">
      <c r="A92" s="124"/>
      <c r="B92" s="121"/>
      <c r="C92" s="123"/>
      <c r="G92" s="120" t="s">
        <v>229</v>
      </c>
      <c r="I92" s="120" t="s">
        <v>113</v>
      </c>
      <c r="J92" s="120">
        <f t="shared" si="3"/>
        <v>191</v>
      </c>
      <c r="K92" s="119">
        <f t="shared" si="2"/>
        <v>426230</v>
      </c>
      <c r="L92" s="118">
        <v>0</v>
      </c>
      <c r="M92" s="120" t="s">
        <v>113</v>
      </c>
    </row>
    <row r="93" spans="1:13">
      <c r="A93" s="124"/>
      <c r="B93" s="121"/>
      <c r="C93" s="123"/>
      <c r="G93" s="120" t="s">
        <v>230</v>
      </c>
      <c r="I93" s="120" t="s">
        <v>114</v>
      </c>
      <c r="J93" s="120">
        <f t="shared" si="3"/>
        <v>192</v>
      </c>
      <c r="K93" s="119">
        <f t="shared" si="2"/>
        <v>426930</v>
      </c>
      <c r="L93" s="118">
        <v>0</v>
      </c>
      <c r="M93" s="120" t="s">
        <v>114</v>
      </c>
    </row>
    <row r="94" spans="1:13">
      <c r="A94" s="124"/>
      <c r="B94" s="121"/>
      <c r="C94" s="123"/>
      <c r="G94" s="120" t="s">
        <v>231</v>
      </c>
      <c r="I94" s="120" t="s">
        <v>115</v>
      </c>
      <c r="J94" s="120">
        <f t="shared" si="3"/>
        <v>193</v>
      </c>
      <c r="K94" s="119">
        <f t="shared" si="2"/>
        <v>427150</v>
      </c>
      <c r="L94" s="118">
        <v>0</v>
      </c>
      <c r="M94" s="120" t="s">
        <v>115</v>
      </c>
    </row>
    <row r="95" spans="1:13">
      <c r="A95" s="121"/>
      <c r="B95" s="121"/>
      <c r="C95" s="123"/>
      <c r="G95" s="120" t="s">
        <v>232</v>
      </c>
      <c r="I95" s="120" t="s">
        <v>116</v>
      </c>
      <c r="J95" s="120">
        <f t="shared" si="3"/>
        <v>194</v>
      </c>
      <c r="K95" s="119">
        <f t="shared" si="2"/>
        <v>427250</v>
      </c>
      <c r="L95" s="118">
        <v>0</v>
      </c>
      <c r="M95" s="120" t="s">
        <v>116</v>
      </c>
    </row>
    <row r="96" spans="1:13">
      <c r="A96" s="124"/>
      <c r="B96" s="121"/>
      <c r="C96" s="123"/>
      <c r="G96" s="120" t="s">
        <v>233</v>
      </c>
      <c r="I96" s="120" t="s">
        <v>117</v>
      </c>
      <c r="J96" s="120">
        <f t="shared" si="3"/>
        <v>195</v>
      </c>
      <c r="K96" s="119">
        <f t="shared" si="2"/>
        <v>427950</v>
      </c>
      <c r="L96" s="118">
        <v>0</v>
      </c>
      <c r="M96" s="120" t="s">
        <v>117</v>
      </c>
    </row>
    <row r="97" spans="1:13">
      <c r="A97" s="124"/>
      <c r="B97" s="121"/>
      <c r="C97" s="123"/>
      <c r="G97" s="120" t="s">
        <v>234</v>
      </c>
      <c r="I97" s="120" t="s">
        <v>118</v>
      </c>
      <c r="J97" s="120">
        <f t="shared" si="3"/>
        <v>196</v>
      </c>
      <c r="K97" s="119">
        <f t="shared" si="2"/>
        <v>431130</v>
      </c>
      <c r="L97" s="118">
        <v>0</v>
      </c>
      <c r="M97" s="120" t="s">
        <v>118</v>
      </c>
    </row>
    <row r="98" spans="1:13">
      <c r="A98" s="121"/>
      <c r="B98" s="121"/>
      <c r="C98" s="123"/>
      <c r="G98" s="120" t="s">
        <v>235</v>
      </c>
      <c r="I98" s="120" t="s">
        <v>119</v>
      </c>
      <c r="J98" s="120">
        <f t="shared" si="3"/>
        <v>197</v>
      </c>
      <c r="K98" s="119">
        <f t="shared" si="2"/>
        <v>432130</v>
      </c>
      <c r="L98" s="118">
        <v>0</v>
      </c>
      <c r="M98" s="120" t="s">
        <v>119</v>
      </c>
    </row>
    <row r="99" spans="1:13">
      <c r="A99" s="125"/>
      <c r="B99" s="121"/>
      <c r="C99" s="123"/>
      <c r="G99" s="120" t="s">
        <v>236</v>
      </c>
      <c r="I99" s="120" t="s">
        <v>120</v>
      </c>
      <c r="J99" s="120">
        <f t="shared" si="3"/>
        <v>198</v>
      </c>
      <c r="K99" s="119">
        <f t="shared" si="2"/>
        <v>433130</v>
      </c>
      <c r="L99" s="118">
        <v>0</v>
      </c>
      <c r="M99" s="120" t="s">
        <v>120</v>
      </c>
    </row>
    <row r="100" spans="1:13">
      <c r="A100" s="124"/>
      <c r="B100" s="121"/>
      <c r="C100" s="123"/>
      <c r="G100" s="120" t="s">
        <v>237</v>
      </c>
      <c r="I100" s="120" t="s">
        <v>121</v>
      </c>
      <c r="J100" s="120">
        <f t="shared" si="3"/>
        <v>199</v>
      </c>
      <c r="K100" s="119">
        <f t="shared" si="2"/>
        <v>433230</v>
      </c>
      <c r="L100" s="118">
        <v>0</v>
      </c>
      <c r="M100" s="120" t="s">
        <v>121</v>
      </c>
    </row>
    <row r="101" spans="1:13">
      <c r="A101" s="124"/>
      <c r="B101" s="121"/>
      <c r="C101" s="123"/>
      <c r="G101" s="120" t="s">
        <v>238</v>
      </c>
      <c r="I101" s="120" t="s">
        <v>122</v>
      </c>
      <c r="J101" s="120">
        <f t="shared" si="3"/>
        <v>200</v>
      </c>
      <c r="K101" s="119">
        <f t="shared" si="2"/>
        <v>434030</v>
      </c>
      <c r="L101" s="118">
        <v>0</v>
      </c>
      <c r="M101" s="120" t="s">
        <v>122</v>
      </c>
    </row>
    <row r="102" spans="1:13">
      <c r="A102" s="121"/>
      <c r="B102" s="121"/>
      <c r="C102" s="123"/>
      <c r="G102" s="120" t="s">
        <v>239</v>
      </c>
      <c r="I102" s="120" t="s">
        <v>123</v>
      </c>
      <c r="J102" s="120">
        <f t="shared" si="3"/>
        <v>201</v>
      </c>
      <c r="K102" s="119">
        <f t="shared" si="2"/>
        <v>435130</v>
      </c>
      <c r="L102" s="118">
        <v>0</v>
      </c>
      <c r="M102" s="120" t="s">
        <v>123</v>
      </c>
    </row>
    <row r="103" spans="1:13">
      <c r="A103" s="124"/>
      <c r="B103" s="121"/>
      <c r="C103" s="123"/>
      <c r="G103" s="120" t="s">
        <v>240</v>
      </c>
      <c r="I103" s="120" t="s">
        <v>310</v>
      </c>
      <c r="J103" s="120">
        <f t="shared" si="3"/>
        <v>202</v>
      </c>
      <c r="K103" s="119">
        <f t="shared" si="2"/>
        <v>435230</v>
      </c>
      <c r="L103" s="118">
        <v>0</v>
      </c>
      <c r="M103" s="120" t="s">
        <v>310</v>
      </c>
    </row>
    <row r="104" spans="1:13">
      <c r="A104" s="124"/>
      <c r="B104" s="121"/>
      <c r="C104" s="123"/>
      <c r="G104" s="120" t="s">
        <v>241</v>
      </c>
      <c r="I104" s="120" t="s">
        <v>124</v>
      </c>
      <c r="J104" s="120">
        <f t="shared" si="3"/>
        <v>203</v>
      </c>
      <c r="K104" s="119">
        <f t="shared" si="2"/>
        <v>485020</v>
      </c>
      <c r="L104" s="118">
        <v>0</v>
      </c>
      <c r="M104" s="120" t="s">
        <v>124</v>
      </c>
    </row>
    <row r="105" spans="1:13">
      <c r="A105" s="121"/>
      <c r="B105" s="121"/>
      <c r="C105" s="123"/>
      <c r="G105" s="120" t="s">
        <v>242</v>
      </c>
      <c r="I105" s="120" t="s">
        <v>311</v>
      </c>
      <c r="J105" s="120">
        <f t="shared" si="3"/>
        <v>204</v>
      </c>
      <c r="K105" s="119">
        <f t="shared" si="2"/>
        <v>531111</v>
      </c>
      <c r="L105" s="118">
        <v>0</v>
      </c>
      <c r="M105" s="120" t="s">
        <v>311</v>
      </c>
    </row>
    <row r="106" spans="1:13">
      <c r="A106" s="125"/>
      <c r="B106" s="121"/>
      <c r="C106" s="123"/>
      <c r="I106" s="120" t="s">
        <v>312</v>
      </c>
      <c r="J106" s="120">
        <f t="shared" si="3"/>
        <v>205</v>
      </c>
      <c r="K106" s="119">
        <f t="shared" si="2"/>
        <v>531121</v>
      </c>
      <c r="L106" s="118">
        <v>0</v>
      </c>
      <c r="M106" s="120" t="s">
        <v>312</v>
      </c>
    </row>
    <row r="107" spans="1:13">
      <c r="A107" s="124"/>
      <c r="B107" s="121"/>
      <c r="C107" s="123"/>
      <c r="I107" s="120" t="s">
        <v>127</v>
      </c>
      <c r="J107" s="120">
        <f t="shared" si="3"/>
        <v>206</v>
      </c>
      <c r="K107" s="119">
        <f t="shared" si="2"/>
        <v>531930</v>
      </c>
      <c r="L107" s="118">
        <v>0</v>
      </c>
      <c r="M107" s="120" t="s">
        <v>127</v>
      </c>
    </row>
    <row r="108" spans="1:13">
      <c r="A108" s="124"/>
      <c r="B108" s="121"/>
      <c r="C108" s="123"/>
      <c r="I108" s="120" t="s">
        <v>128</v>
      </c>
      <c r="J108" s="120">
        <f t="shared" si="3"/>
        <v>207</v>
      </c>
      <c r="K108" s="119">
        <f t="shared" si="2"/>
        <v>536000</v>
      </c>
      <c r="L108" s="118">
        <v>0</v>
      </c>
      <c r="M108" s="120" t="s">
        <v>128</v>
      </c>
    </row>
    <row r="109" spans="1:13">
      <c r="A109" s="121"/>
      <c r="B109" s="121"/>
      <c r="C109" s="123"/>
      <c r="I109" s="120" t="s">
        <v>129</v>
      </c>
      <c r="J109" s="120">
        <f t="shared" si="3"/>
        <v>208</v>
      </c>
      <c r="K109" s="119">
        <f t="shared" si="2"/>
        <v>538030</v>
      </c>
      <c r="L109" s="118">
        <v>0</v>
      </c>
      <c r="M109" s="120" t="s">
        <v>129</v>
      </c>
    </row>
    <row r="110" spans="1:13">
      <c r="A110" s="124"/>
      <c r="B110" s="121"/>
      <c r="C110" s="123"/>
      <c r="I110" s="120" t="s">
        <v>130</v>
      </c>
      <c r="J110" s="120">
        <f t="shared" si="3"/>
        <v>209</v>
      </c>
      <c r="K110" s="119">
        <f t="shared" si="2"/>
        <v>539930</v>
      </c>
      <c r="L110" s="118">
        <v>0</v>
      </c>
      <c r="M110" s="120" t="s">
        <v>130</v>
      </c>
    </row>
    <row r="111" spans="1:13">
      <c r="A111" s="124"/>
      <c r="B111" s="121"/>
      <c r="C111" s="123"/>
      <c r="I111" s="120" t="s">
        <v>131</v>
      </c>
      <c r="J111" s="120">
        <f t="shared" si="3"/>
        <v>210</v>
      </c>
      <c r="K111" s="119">
        <f t="shared" si="2"/>
        <v>571000</v>
      </c>
      <c r="L111" s="118">
        <v>0</v>
      </c>
      <c r="M111" s="120" t="s">
        <v>131</v>
      </c>
    </row>
    <row r="112" spans="1:13">
      <c r="A112" s="121"/>
      <c r="B112" s="121"/>
      <c r="C112" s="123"/>
      <c r="I112" s="120" t="s">
        <v>132</v>
      </c>
      <c r="J112" s="120">
        <f t="shared" si="3"/>
        <v>211</v>
      </c>
      <c r="K112" s="119">
        <f t="shared" si="2"/>
        <v>581100</v>
      </c>
      <c r="L112" s="118">
        <v>0</v>
      </c>
      <c r="M112" s="120" t="s">
        <v>132</v>
      </c>
    </row>
    <row r="113" spans="1:13">
      <c r="A113" s="125"/>
      <c r="B113" s="121"/>
      <c r="C113" s="123"/>
      <c r="I113" s="120" t="s">
        <v>133</v>
      </c>
      <c r="J113" s="120">
        <f t="shared" si="3"/>
        <v>212</v>
      </c>
      <c r="K113" s="119">
        <f t="shared" si="2"/>
        <v>582000</v>
      </c>
      <c r="L113" s="118">
        <v>0</v>
      </c>
      <c r="M113" s="120" t="s">
        <v>133</v>
      </c>
    </row>
    <row r="114" spans="1:13">
      <c r="A114" s="124"/>
      <c r="B114" s="121"/>
      <c r="C114" s="123"/>
      <c r="I114" s="120" t="s">
        <v>134</v>
      </c>
      <c r="J114" s="120">
        <f t="shared" si="3"/>
        <v>213</v>
      </c>
      <c r="K114" s="119">
        <f t="shared" si="2"/>
        <v>584000</v>
      </c>
      <c r="L114" s="118">
        <v>0</v>
      </c>
      <c r="M114" s="120" t="s">
        <v>134</v>
      </c>
    </row>
    <row r="115" spans="1:13">
      <c r="A115" s="124"/>
      <c r="B115" s="121"/>
      <c r="C115" s="123"/>
      <c r="I115" s="120" t="s">
        <v>94</v>
      </c>
      <c r="J115" s="120">
        <f t="shared" si="3"/>
        <v>214</v>
      </c>
      <c r="K115" s="119">
        <f t="shared" si="2"/>
        <v>401210</v>
      </c>
      <c r="L115" s="118">
        <v>0</v>
      </c>
      <c r="M115" s="120" t="s">
        <v>94</v>
      </c>
    </row>
    <row r="116" spans="1:13">
      <c r="A116" s="121"/>
      <c r="B116" s="121"/>
      <c r="C116" s="123"/>
      <c r="I116" s="120" t="s">
        <v>307</v>
      </c>
      <c r="J116" s="120">
        <f t="shared" si="3"/>
        <v>215</v>
      </c>
      <c r="K116" s="119">
        <f t="shared" si="2"/>
        <v>401300</v>
      </c>
      <c r="L116" s="118">
        <v>0</v>
      </c>
      <c r="M116" s="120" t="s">
        <v>307</v>
      </c>
    </row>
    <row r="117" spans="1:13">
      <c r="A117" s="124"/>
      <c r="B117" s="121"/>
      <c r="C117" s="123"/>
      <c r="I117" s="120" t="s">
        <v>95</v>
      </c>
      <c r="J117" s="120">
        <f t="shared" si="3"/>
        <v>216</v>
      </c>
      <c r="K117" s="119">
        <f t="shared" si="2"/>
        <v>401330</v>
      </c>
      <c r="L117" s="118">
        <v>0</v>
      </c>
      <c r="M117" s="120" t="s">
        <v>95</v>
      </c>
    </row>
    <row r="118" spans="1:13">
      <c r="A118" s="124"/>
      <c r="B118" s="121"/>
      <c r="C118" s="123"/>
      <c r="I118" s="120" t="s">
        <v>96</v>
      </c>
      <c r="J118" s="120">
        <f t="shared" si="3"/>
        <v>217</v>
      </c>
      <c r="K118" s="119">
        <f t="shared" si="2"/>
        <v>401353</v>
      </c>
      <c r="L118" s="118">
        <v>0</v>
      </c>
      <c r="M118" s="120" t="s">
        <v>96</v>
      </c>
    </row>
    <row r="119" spans="1:13" ht="15">
      <c r="A119" s="121"/>
      <c r="B119" s="121"/>
      <c r="C119" s="123"/>
      <c r="I119" s="120" t="s">
        <v>139</v>
      </c>
      <c r="J119" s="120">
        <f t="shared" si="3"/>
        <v>218</v>
      </c>
      <c r="K119" s="119">
        <f t="shared" si="2"/>
        <v>401100</v>
      </c>
      <c r="L119" s="173" t="s">
        <v>265</v>
      </c>
      <c r="M119" s="120" t="s">
        <v>139</v>
      </c>
    </row>
    <row r="120" spans="1:13" ht="15">
      <c r="A120" s="126"/>
      <c r="B120" s="126"/>
      <c r="C120" s="127"/>
      <c r="I120" s="120" t="s">
        <v>140</v>
      </c>
      <c r="J120" s="120">
        <f t="shared" si="3"/>
        <v>219</v>
      </c>
      <c r="K120" s="119">
        <f t="shared" si="2"/>
        <v>401354</v>
      </c>
      <c r="L120" s="173" t="s">
        <v>265</v>
      </c>
      <c r="M120" s="120" t="s">
        <v>140</v>
      </c>
    </row>
    <row r="121" spans="1:13" ht="15">
      <c r="A121" s="121"/>
      <c r="B121" s="121"/>
      <c r="C121" s="123"/>
      <c r="I121" s="120" t="s">
        <v>141</v>
      </c>
      <c r="J121" s="120">
        <f t="shared" si="3"/>
        <v>220</v>
      </c>
      <c r="K121" s="119">
        <f t="shared" si="2"/>
        <v>401440</v>
      </c>
      <c r="L121" s="173" t="s">
        <v>265</v>
      </c>
      <c r="M121" s="120" t="s">
        <v>141</v>
      </c>
    </row>
    <row r="122" spans="1:13" ht="15">
      <c r="A122" s="121"/>
      <c r="B122" s="121"/>
      <c r="C122" s="123"/>
      <c r="I122" s="120" t="s">
        <v>142</v>
      </c>
      <c r="J122" s="120">
        <f t="shared" si="3"/>
        <v>221</v>
      </c>
      <c r="K122" s="119">
        <f t="shared" si="2"/>
        <v>401540</v>
      </c>
      <c r="L122" s="173" t="s">
        <v>265</v>
      </c>
      <c r="M122" s="120" t="s">
        <v>142</v>
      </c>
    </row>
    <row r="123" spans="1:13" ht="15">
      <c r="A123" s="121"/>
      <c r="B123" s="121"/>
      <c r="C123" s="123"/>
      <c r="I123" s="120" t="s">
        <v>143</v>
      </c>
      <c r="J123" s="120">
        <f t="shared" si="3"/>
        <v>222</v>
      </c>
      <c r="K123" s="119">
        <f t="shared" si="2"/>
        <v>401700</v>
      </c>
      <c r="L123" s="173" t="s">
        <v>265</v>
      </c>
      <c r="M123" s="120" t="s">
        <v>143</v>
      </c>
    </row>
    <row r="124" spans="1:13" ht="15">
      <c r="A124" s="121"/>
      <c r="B124" s="121"/>
      <c r="C124" s="123"/>
      <c r="I124" s="120" t="s">
        <v>144</v>
      </c>
      <c r="J124" s="120">
        <f t="shared" si="3"/>
        <v>223</v>
      </c>
      <c r="K124" s="119">
        <f t="shared" si="2"/>
        <v>401940</v>
      </c>
      <c r="L124" s="173" t="s">
        <v>265</v>
      </c>
      <c r="M124" s="120" t="s">
        <v>144</v>
      </c>
    </row>
    <row r="125" spans="1:13" ht="15">
      <c r="A125" s="121"/>
      <c r="B125" s="121"/>
      <c r="C125" s="123"/>
      <c r="I125" s="120" t="s">
        <v>145</v>
      </c>
      <c r="J125" s="120">
        <f t="shared" si="3"/>
        <v>224</v>
      </c>
      <c r="K125" s="119">
        <f t="shared" si="2"/>
        <v>402010</v>
      </c>
      <c r="L125" s="173" t="s">
        <v>265</v>
      </c>
      <c r="M125" s="120" t="s">
        <v>145</v>
      </c>
    </row>
    <row r="126" spans="1:13" ht="15">
      <c r="A126" s="121"/>
      <c r="B126" s="121"/>
      <c r="C126" s="123"/>
      <c r="I126" s="120" t="s">
        <v>146</v>
      </c>
      <c r="J126" s="120">
        <f t="shared" si="3"/>
        <v>225</v>
      </c>
      <c r="K126" s="119">
        <f t="shared" si="2"/>
        <v>402070</v>
      </c>
      <c r="L126" s="173" t="s">
        <v>265</v>
      </c>
      <c r="M126" s="120" t="s">
        <v>146</v>
      </c>
    </row>
    <row r="127" spans="1:13" ht="15">
      <c r="A127" s="121"/>
      <c r="B127" s="121"/>
      <c r="C127" s="123"/>
      <c r="I127" s="120" t="s">
        <v>147</v>
      </c>
      <c r="J127" s="120">
        <f t="shared" si="3"/>
        <v>226</v>
      </c>
      <c r="K127" s="119">
        <f t="shared" si="2"/>
        <v>403100</v>
      </c>
      <c r="L127" s="173" t="s">
        <v>265</v>
      </c>
      <c r="M127" s="120" t="s">
        <v>147</v>
      </c>
    </row>
    <row r="128" spans="1:13" ht="15">
      <c r="A128" s="121"/>
      <c r="B128" s="121"/>
      <c r="C128" s="123"/>
      <c r="I128" s="120" t="s">
        <v>148</v>
      </c>
      <c r="J128" s="120">
        <f t="shared" si="3"/>
        <v>227</v>
      </c>
      <c r="K128" s="119">
        <f t="shared" si="2"/>
        <v>403240</v>
      </c>
      <c r="L128" s="173" t="s">
        <v>265</v>
      </c>
      <c r="M128" s="120" t="s">
        <v>148</v>
      </c>
    </row>
    <row r="129" spans="1:13" ht="15">
      <c r="A129" s="121"/>
      <c r="B129" s="121"/>
      <c r="C129" s="123"/>
      <c r="I129" s="120" t="s">
        <v>149</v>
      </c>
      <c r="J129" s="120">
        <f t="shared" si="3"/>
        <v>228</v>
      </c>
      <c r="K129" s="119">
        <f t="shared" si="2"/>
        <v>403340</v>
      </c>
      <c r="L129" s="173" t="s">
        <v>265</v>
      </c>
      <c r="M129" s="120" t="s">
        <v>149</v>
      </c>
    </row>
    <row r="130" spans="1:13" ht="15">
      <c r="A130" s="121"/>
      <c r="B130" s="121"/>
      <c r="C130" s="123"/>
      <c r="I130" s="120" t="s">
        <v>150</v>
      </c>
      <c r="J130" s="120">
        <f t="shared" si="3"/>
        <v>229</v>
      </c>
      <c r="K130" s="119">
        <f t="shared" si="2"/>
        <v>409000</v>
      </c>
      <c r="L130" s="173" t="s">
        <v>265</v>
      </c>
      <c r="M130" s="120" t="s">
        <v>150</v>
      </c>
    </row>
    <row r="131" spans="1:13" ht="15">
      <c r="A131" s="121"/>
      <c r="B131" s="121"/>
      <c r="C131" s="123"/>
      <c r="I131" s="120" t="s">
        <v>151</v>
      </c>
      <c r="J131" s="120">
        <f t="shared" si="3"/>
        <v>230</v>
      </c>
      <c r="K131" s="119">
        <f t="shared" ref="K131:K194" si="4">LEFT(I131,6)*1</f>
        <v>411400</v>
      </c>
      <c r="L131" s="173" t="s">
        <v>265</v>
      </c>
      <c r="M131" s="120" t="s">
        <v>151</v>
      </c>
    </row>
    <row r="132" spans="1:13" ht="15">
      <c r="A132" s="125"/>
      <c r="B132" s="121"/>
      <c r="C132" s="123"/>
      <c r="I132" s="120" t="s">
        <v>152</v>
      </c>
      <c r="J132" s="120">
        <f t="shared" ref="J132:J195" si="5">J131+1</f>
        <v>231</v>
      </c>
      <c r="K132" s="119">
        <f t="shared" si="4"/>
        <v>412400</v>
      </c>
      <c r="L132" s="173" t="s">
        <v>265</v>
      </c>
      <c r="M132" s="120" t="s">
        <v>152</v>
      </c>
    </row>
    <row r="133" spans="1:13" ht="15">
      <c r="A133" s="121"/>
      <c r="B133" s="121"/>
      <c r="C133" s="123"/>
      <c r="I133" s="120" t="s">
        <v>153</v>
      </c>
      <c r="J133" s="120">
        <f t="shared" si="5"/>
        <v>232</v>
      </c>
      <c r="K133" s="119">
        <f t="shared" si="4"/>
        <v>413400</v>
      </c>
      <c r="L133" s="173" t="s">
        <v>265</v>
      </c>
      <c r="M133" s="120" t="s">
        <v>153</v>
      </c>
    </row>
    <row r="134" spans="1:13" ht="15">
      <c r="A134" s="121"/>
      <c r="B134" s="121"/>
      <c r="C134" s="123"/>
      <c r="I134" s="120" t="s">
        <v>154</v>
      </c>
      <c r="J134" s="120">
        <f t="shared" si="5"/>
        <v>233</v>
      </c>
      <c r="K134" s="119">
        <f t="shared" si="4"/>
        <v>414400</v>
      </c>
      <c r="L134" s="173" t="s">
        <v>265</v>
      </c>
      <c r="M134" s="120" t="s">
        <v>154</v>
      </c>
    </row>
    <row r="135" spans="1:13" ht="15">
      <c r="A135" s="121"/>
      <c r="B135" s="121"/>
      <c r="C135" s="123"/>
      <c r="I135" s="120" t="s">
        <v>155</v>
      </c>
      <c r="J135" s="120">
        <f t="shared" si="5"/>
        <v>234</v>
      </c>
      <c r="K135" s="119">
        <f t="shared" si="4"/>
        <v>415400</v>
      </c>
      <c r="L135" s="173" t="s">
        <v>265</v>
      </c>
      <c r="M135" s="120" t="s">
        <v>155</v>
      </c>
    </row>
    <row r="136" spans="1:13" ht="15">
      <c r="A136" s="121"/>
      <c r="B136" s="121"/>
      <c r="C136" s="123"/>
      <c r="I136" s="120" t="s">
        <v>156</v>
      </c>
      <c r="J136" s="120">
        <f t="shared" si="5"/>
        <v>235</v>
      </c>
      <c r="K136" s="119">
        <f t="shared" si="4"/>
        <v>416400</v>
      </c>
      <c r="L136" s="173" t="s">
        <v>265</v>
      </c>
      <c r="M136" s="120" t="s">
        <v>156</v>
      </c>
    </row>
    <row r="137" spans="1:13" ht="15">
      <c r="A137" s="121"/>
      <c r="B137" s="121"/>
      <c r="C137" s="123"/>
      <c r="I137" s="120" t="s">
        <v>157</v>
      </c>
      <c r="J137" s="120">
        <f t="shared" si="5"/>
        <v>236</v>
      </c>
      <c r="K137" s="119">
        <f t="shared" si="4"/>
        <v>417400</v>
      </c>
      <c r="L137" s="173" t="s">
        <v>265</v>
      </c>
      <c r="M137" s="120" t="s">
        <v>157</v>
      </c>
    </row>
    <row r="138" spans="1:13" ht="15">
      <c r="A138" s="121"/>
      <c r="B138" s="121"/>
      <c r="C138" s="123"/>
      <c r="I138" s="120" t="s">
        <v>158</v>
      </c>
      <c r="J138" s="120">
        <f t="shared" si="5"/>
        <v>237</v>
      </c>
      <c r="K138" s="119">
        <f t="shared" si="4"/>
        <v>418400</v>
      </c>
      <c r="L138" s="173" t="s">
        <v>265</v>
      </c>
      <c r="M138" s="120" t="s">
        <v>158</v>
      </c>
    </row>
    <row r="139" spans="1:13" ht="15">
      <c r="A139" s="121"/>
      <c r="B139" s="121"/>
      <c r="C139" s="123"/>
      <c r="I139" s="120" t="s">
        <v>159</v>
      </c>
      <c r="J139" s="120">
        <f t="shared" si="5"/>
        <v>238</v>
      </c>
      <c r="K139" s="119">
        <f t="shared" si="4"/>
        <v>419400</v>
      </c>
      <c r="L139" s="173" t="s">
        <v>265</v>
      </c>
      <c r="M139" s="120" t="s">
        <v>159</v>
      </c>
    </row>
    <row r="140" spans="1:13" ht="15">
      <c r="A140" s="121"/>
      <c r="B140" s="121"/>
      <c r="C140" s="123"/>
      <c r="I140" s="120" t="s">
        <v>160</v>
      </c>
      <c r="J140" s="120">
        <f t="shared" si="5"/>
        <v>239</v>
      </c>
      <c r="K140" s="119">
        <f t="shared" si="4"/>
        <v>426140</v>
      </c>
      <c r="L140" s="173" t="s">
        <v>265</v>
      </c>
      <c r="M140" s="120" t="s">
        <v>160</v>
      </c>
    </row>
    <row r="141" spans="1:13" ht="15">
      <c r="A141" s="121"/>
      <c r="B141" s="121"/>
      <c r="C141" s="123"/>
      <c r="I141" s="120" t="s">
        <v>161</v>
      </c>
      <c r="J141" s="120">
        <f t="shared" si="5"/>
        <v>240</v>
      </c>
      <c r="K141" s="119">
        <f t="shared" si="4"/>
        <v>426240</v>
      </c>
      <c r="L141" s="173" t="s">
        <v>265</v>
      </c>
      <c r="M141" s="120" t="s">
        <v>161</v>
      </c>
    </row>
    <row r="142" spans="1:13" ht="15">
      <c r="A142" s="121"/>
      <c r="B142" s="121"/>
      <c r="C142" s="123"/>
      <c r="I142" s="120" t="s">
        <v>162</v>
      </c>
      <c r="J142" s="120">
        <f t="shared" si="5"/>
        <v>241</v>
      </c>
      <c r="K142" s="119">
        <f t="shared" si="4"/>
        <v>426940</v>
      </c>
      <c r="L142" s="173" t="s">
        <v>265</v>
      </c>
      <c r="M142" s="120" t="s">
        <v>162</v>
      </c>
    </row>
    <row r="143" spans="1:13" ht="15">
      <c r="A143" s="121"/>
      <c r="B143" s="121"/>
      <c r="C143" s="123"/>
      <c r="I143" s="120" t="s">
        <v>163</v>
      </c>
      <c r="J143" s="120">
        <f t="shared" si="5"/>
        <v>242</v>
      </c>
      <c r="K143" s="119">
        <f t="shared" si="4"/>
        <v>427160</v>
      </c>
      <c r="L143" s="173" t="s">
        <v>265</v>
      </c>
      <c r="M143" s="120" t="s">
        <v>163</v>
      </c>
    </row>
    <row r="144" spans="1:13" ht="15">
      <c r="A144" s="121"/>
      <c r="B144" s="121"/>
      <c r="C144" s="123"/>
      <c r="I144" s="120" t="s">
        <v>164</v>
      </c>
      <c r="J144" s="120">
        <f t="shared" si="5"/>
        <v>243</v>
      </c>
      <c r="K144" s="119">
        <f t="shared" si="4"/>
        <v>427260</v>
      </c>
      <c r="L144" s="173" t="s">
        <v>265</v>
      </c>
      <c r="M144" s="120" t="s">
        <v>164</v>
      </c>
    </row>
    <row r="145" spans="1:13" ht="15">
      <c r="A145" s="121"/>
      <c r="B145" s="121"/>
      <c r="C145" s="123"/>
      <c r="I145" s="120" t="s">
        <v>165</v>
      </c>
      <c r="J145" s="120">
        <f t="shared" si="5"/>
        <v>244</v>
      </c>
      <c r="K145" s="119">
        <f t="shared" si="4"/>
        <v>427960</v>
      </c>
      <c r="L145" s="173" t="s">
        <v>265</v>
      </c>
      <c r="M145" s="120" t="s">
        <v>165</v>
      </c>
    </row>
    <row r="146" spans="1:13" ht="15">
      <c r="A146" s="121"/>
      <c r="B146" s="121"/>
      <c r="C146" s="123"/>
      <c r="I146" s="120" t="s">
        <v>166</v>
      </c>
      <c r="J146" s="120">
        <f t="shared" si="5"/>
        <v>245</v>
      </c>
      <c r="K146" s="119">
        <f t="shared" si="4"/>
        <v>431140</v>
      </c>
      <c r="L146" s="173" t="s">
        <v>265</v>
      </c>
      <c r="M146" s="120" t="s">
        <v>166</v>
      </c>
    </row>
    <row r="147" spans="1:13" ht="15">
      <c r="A147" s="121"/>
      <c r="B147" s="121"/>
      <c r="C147" s="123"/>
      <c r="I147" s="120" t="s">
        <v>167</v>
      </c>
      <c r="J147" s="120">
        <f t="shared" si="5"/>
        <v>246</v>
      </c>
      <c r="K147" s="119">
        <f t="shared" si="4"/>
        <v>431230</v>
      </c>
      <c r="L147" s="173" t="s">
        <v>265</v>
      </c>
      <c r="M147" s="120" t="s">
        <v>167</v>
      </c>
    </row>
    <row r="148" spans="1:13" ht="15">
      <c r="A148" s="121"/>
      <c r="B148" s="121"/>
      <c r="C148" s="123"/>
      <c r="I148" s="120" t="s">
        <v>168</v>
      </c>
      <c r="J148" s="120">
        <f t="shared" si="5"/>
        <v>247</v>
      </c>
      <c r="K148" s="119">
        <f t="shared" si="4"/>
        <v>432140</v>
      </c>
      <c r="L148" s="173" t="s">
        <v>265</v>
      </c>
      <c r="M148" s="120" t="s">
        <v>168</v>
      </c>
    </row>
    <row r="149" spans="1:13" ht="15">
      <c r="A149" s="121"/>
      <c r="B149" s="121"/>
      <c r="C149" s="123"/>
      <c r="I149" s="120" t="s">
        <v>169</v>
      </c>
      <c r="J149" s="120">
        <f t="shared" si="5"/>
        <v>248</v>
      </c>
      <c r="K149" s="119">
        <f t="shared" si="4"/>
        <v>433140</v>
      </c>
      <c r="L149" s="173" t="s">
        <v>265</v>
      </c>
      <c r="M149" s="120" t="s">
        <v>169</v>
      </c>
    </row>
    <row r="150" spans="1:13" ht="15">
      <c r="A150" s="121"/>
      <c r="B150" s="121"/>
      <c r="C150" s="123"/>
      <c r="I150" s="120" t="s">
        <v>170</v>
      </c>
      <c r="J150" s="120">
        <f t="shared" si="5"/>
        <v>249</v>
      </c>
      <c r="K150" s="119">
        <f t="shared" si="4"/>
        <v>433240</v>
      </c>
      <c r="L150" s="173" t="s">
        <v>265</v>
      </c>
      <c r="M150" s="120" t="s">
        <v>170</v>
      </c>
    </row>
    <row r="151" spans="1:13" ht="15">
      <c r="A151" s="121"/>
      <c r="B151" s="121"/>
      <c r="C151" s="123"/>
      <c r="I151" s="120" t="s">
        <v>171</v>
      </c>
      <c r="J151" s="120">
        <f t="shared" si="5"/>
        <v>250</v>
      </c>
      <c r="K151" s="119">
        <f t="shared" si="4"/>
        <v>434040</v>
      </c>
      <c r="L151" s="173" t="s">
        <v>265</v>
      </c>
      <c r="M151" s="120" t="s">
        <v>171</v>
      </c>
    </row>
    <row r="152" spans="1:13" ht="15">
      <c r="A152" s="121"/>
      <c r="B152" s="121"/>
      <c r="C152" s="123"/>
      <c r="I152" s="120" t="s">
        <v>172</v>
      </c>
      <c r="J152" s="120">
        <f t="shared" si="5"/>
        <v>251</v>
      </c>
      <c r="K152" s="119">
        <f t="shared" si="4"/>
        <v>435140</v>
      </c>
      <c r="L152" s="173" t="s">
        <v>265</v>
      </c>
      <c r="M152" s="120" t="s">
        <v>172</v>
      </c>
    </row>
    <row r="153" spans="1:13" ht="15">
      <c r="A153" s="121"/>
      <c r="B153" s="121"/>
      <c r="C153" s="123"/>
      <c r="I153" s="120" t="s">
        <v>173</v>
      </c>
      <c r="J153" s="120">
        <f t="shared" si="5"/>
        <v>252</v>
      </c>
      <c r="K153" s="119">
        <f t="shared" si="4"/>
        <v>436000</v>
      </c>
      <c r="L153" s="173" t="s">
        <v>265</v>
      </c>
      <c r="M153" s="120" t="s">
        <v>173</v>
      </c>
    </row>
    <row r="154" spans="1:13" ht="15">
      <c r="A154" s="121"/>
      <c r="B154" s="121"/>
      <c r="C154" s="123"/>
      <c r="I154" s="120" t="s">
        <v>174</v>
      </c>
      <c r="J154" s="120">
        <f t="shared" si="5"/>
        <v>253</v>
      </c>
      <c r="K154" s="119">
        <f t="shared" si="4"/>
        <v>441110</v>
      </c>
      <c r="L154" s="173" t="s">
        <v>265</v>
      </c>
      <c r="M154" s="120" t="s">
        <v>174</v>
      </c>
    </row>
    <row r="155" spans="1:13" ht="15">
      <c r="A155" s="121"/>
      <c r="B155" s="121"/>
      <c r="C155" s="123"/>
      <c r="I155" s="120" t="s">
        <v>175</v>
      </c>
      <c r="J155" s="120">
        <f t="shared" si="5"/>
        <v>254</v>
      </c>
      <c r="K155" s="119">
        <f t="shared" si="4"/>
        <v>441120</v>
      </c>
      <c r="L155" s="173" t="s">
        <v>265</v>
      </c>
      <c r="M155" s="120" t="s">
        <v>175</v>
      </c>
    </row>
    <row r="156" spans="1:13" ht="15">
      <c r="A156" s="121"/>
      <c r="B156" s="121"/>
      <c r="C156" s="123"/>
      <c r="I156" s="120" t="s">
        <v>176</v>
      </c>
      <c r="J156" s="120">
        <f t="shared" si="5"/>
        <v>255</v>
      </c>
      <c r="K156" s="119">
        <f t="shared" si="4"/>
        <v>441130</v>
      </c>
      <c r="L156" s="173" t="s">
        <v>265</v>
      </c>
      <c r="M156" s="120" t="s">
        <v>176</v>
      </c>
    </row>
    <row r="157" spans="1:13" ht="15">
      <c r="A157" s="121"/>
      <c r="B157" s="121"/>
      <c r="C157" s="123"/>
      <c r="I157" s="120" t="s">
        <v>177</v>
      </c>
      <c r="J157" s="120">
        <f t="shared" si="5"/>
        <v>256</v>
      </c>
      <c r="K157" s="119">
        <f t="shared" si="4"/>
        <v>441140</v>
      </c>
      <c r="L157" s="173" t="s">
        <v>265</v>
      </c>
      <c r="M157" s="120" t="s">
        <v>177</v>
      </c>
    </row>
    <row r="158" spans="1:13" ht="15">
      <c r="A158" s="121"/>
      <c r="B158" s="121"/>
      <c r="C158" s="123"/>
      <c r="I158" s="120" t="s">
        <v>178</v>
      </c>
      <c r="J158" s="120">
        <f t="shared" si="5"/>
        <v>257</v>
      </c>
      <c r="K158" s="119">
        <f t="shared" si="4"/>
        <v>441200</v>
      </c>
      <c r="L158" s="173" t="s">
        <v>265</v>
      </c>
      <c r="M158" s="120" t="s">
        <v>178</v>
      </c>
    </row>
    <row r="159" spans="1:13" ht="15">
      <c r="A159" s="121"/>
      <c r="B159" s="121"/>
      <c r="C159" s="123"/>
      <c r="I159" s="120" t="s">
        <v>179</v>
      </c>
      <c r="J159" s="120">
        <f t="shared" si="5"/>
        <v>258</v>
      </c>
      <c r="K159" s="119">
        <f t="shared" si="4"/>
        <v>441300</v>
      </c>
      <c r="L159" s="173" t="s">
        <v>265</v>
      </c>
      <c r="M159" s="120" t="s">
        <v>179</v>
      </c>
    </row>
    <row r="160" spans="1:13" ht="15">
      <c r="A160" s="121"/>
      <c r="B160" s="121"/>
      <c r="C160" s="123"/>
      <c r="I160" s="120" t="s">
        <v>180</v>
      </c>
      <c r="J160" s="120">
        <f t="shared" si="5"/>
        <v>259</v>
      </c>
      <c r="K160" s="119">
        <f t="shared" si="4"/>
        <v>449000</v>
      </c>
      <c r="L160" s="173" t="s">
        <v>265</v>
      </c>
      <c r="M160" s="120" t="s">
        <v>180</v>
      </c>
    </row>
    <row r="161" spans="1:13" ht="15">
      <c r="A161" s="121"/>
      <c r="B161" s="121"/>
      <c r="C161" s="123"/>
      <c r="I161" s="120" t="s">
        <v>181</v>
      </c>
      <c r="J161" s="120">
        <f t="shared" si="5"/>
        <v>260</v>
      </c>
      <c r="K161" s="119">
        <f t="shared" si="4"/>
        <v>451100</v>
      </c>
      <c r="L161" s="173" t="s">
        <v>265</v>
      </c>
      <c r="M161" s="120" t="s">
        <v>181</v>
      </c>
    </row>
    <row r="162" spans="1:13" ht="15">
      <c r="A162" s="121"/>
      <c r="B162" s="121"/>
      <c r="C162" s="123"/>
      <c r="I162" s="120" t="s">
        <v>182</v>
      </c>
      <c r="J162" s="120">
        <f t="shared" si="5"/>
        <v>261</v>
      </c>
      <c r="K162" s="119">
        <f t="shared" si="4"/>
        <v>451200</v>
      </c>
      <c r="L162" s="173" t="s">
        <v>265</v>
      </c>
      <c r="M162" s="120" t="s">
        <v>182</v>
      </c>
    </row>
    <row r="163" spans="1:13" ht="15">
      <c r="A163" s="121"/>
      <c r="B163" s="121"/>
      <c r="C163" s="123"/>
      <c r="I163" s="120" t="s">
        <v>183</v>
      </c>
      <c r="J163" s="120">
        <f t="shared" si="5"/>
        <v>262</v>
      </c>
      <c r="K163" s="119">
        <f t="shared" si="4"/>
        <v>451210</v>
      </c>
      <c r="L163" s="173" t="s">
        <v>265</v>
      </c>
      <c r="M163" s="120" t="s">
        <v>183</v>
      </c>
    </row>
    <row r="164" spans="1:13" ht="15">
      <c r="A164" s="121"/>
      <c r="B164" s="121"/>
      <c r="C164" s="123"/>
      <c r="I164" s="120" t="s">
        <v>184</v>
      </c>
      <c r="J164" s="120">
        <f t="shared" si="5"/>
        <v>263</v>
      </c>
      <c r="K164" s="119">
        <f t="shared" si="4"/>
        <v>451290</v>
      </c>
      <c r="L164" s="173" t="s">
        <v>265</v>
      </c>
      <c r="M164" s="120" t="s">
        <v>184</v>
      </c>
    </row>
    <row r="165" spans="1:13" ht="15">
      <c r="A165" s="121"/>
      <c r="B165" s="121"/>
      <c r="C165" s="123"/>
      <c r="I165" s="120" t="s">
        <v>185</v>
      </c>
      <c r="J165" s="120">
        <f t="shared" si="5"/>
        <v>264</v>
      </c>
      <c r="K165" s="119">
        <f t="shared" si="4"/>
        <v>451300</v>
      </c>
      <c r="L165" s="173" t="s">
        <v>265</v>
      </c>
      <c r="M165" s="120" t="s">
        <v>185</v>
      </c>
    </row>
    <row r="166" spans="1:13" ht="15">
      <c r="A166" s="121"/>
      <c r="B166" s="121"/>
      <c r="C166" s="123"/>
      <c r="I166" s="120" t="s">
        <v>186</v>
      </c>
      <c r="J166" s="120">
        <f t="shared" si="5"/>
        <v>265</v>
      </c>
      <c r="K166" s="119">
        <f t="shared" si="4"/>
        <v>451310</v>
      </c>
      <c r="L166" s="173" t="s">
        <v>265</v>
      </c>
      <c r="M166" s="120" t="s">
        <v>186</v>
      </c>
    </row>
    <row r="167" spans="1:13" ht="15">
      <c r="A167" s="121"/>
      <c r="B167" s="121"/>
      <c r="C167" s="123"/>
      <c r="I167" s="120" t="s">
        <v>187</v>
      </c>
      <c r="J167" s="120">
        <f t="shared" si="5"/>
        <v>266</v>
      </c>
      <c r="K167" s="119">
        <f t="shared" si="4"/>
        <v>451320</v>
      </c>
      <c r="L167" s="173" t="s">
        <v>265</v>
      </c>
      <c r="M167" s="120" t="s">
        <v>187</v>
      </c>
    </row>
    <row r="168" spans="1:13" ht="15">
      <c r="A168" s="121"/>
      <c r="B168" s="121"/>
      <c r="C168" s="123"/>
      <c r="I168" s="120" t="s">
        <v>188</v>
      </c>
      <c r="J168" s="120">
        <f t="shared" si="5"/>
        <v>267</v>
      </c>
      <c r="K168" s="119">
        <f t="shared" si="4"/>
        <v>451330</v>
      </c>
      <c r="L168" s="173" t="s">
        <v>265</v>
      </c>
      <c r="M168" s="120" t="s">
        <v>188</v>
      </c>
    </row>
    <row r="169" spans="1:13" ht="15">
      <c r="A169" s="121"/>
      <c r="B169" s="121"/>
      <c r="C169" s="123"/>
      <c r="I169" s="120" t="s">
        <v>189</v>
      </c>
      <c r="J169" s="120">
        <f t="shared" si="5"/>
        <v>268</v>
      </c>
      <c r="K169" s="119">
        <f t="shared" si="4"/>
        <v>451390</v>
      </c>
      <c r="L169" s="173" t="s">
        <v>265</v>
      </c>
      <c r="M169" s="120" t="s">
        <v>189</v>
      </c>
    </row>
    <row r="170" spans="1:13" ht="15">
      <c r="A170" s="124"/>
      <c r="B170" s="121"/>
      <c r="C170" s="123"/>
      <c r="I170" s="120" t="s">
        <v>190</v>
      </c>
      <c r="J170" s="120">
        <f t="shared" si="5"/>
        <v>269</v>
      </c>
      <c r="K170" s="119">
        <f t="shared" si="4"/>
        <v>452100</v>
      </c>
      <c r="L170" s="173" t="s">
        <v>265</v>
      </c>
      <c r="M170" s="120" t="s">
        <v>190</v>
      </c>
    </row>
    <row r="171" spans="1:13" ht="15">
      <c r="A171" s="124"/>
      <c r="B171" s="121"/>
      <c r="C171" s="123"/>
      <c r="I171" s="120" t="s">
        <v>191</v>
      </c>
      <c r="J171" s="120">
        <f t="shared" si="5"/>
        <v>270</v>
      </c>
      <c r="K171" s="119">
        <f t="shared" si="4"/>
        <v>452200</v>
      </c>
      <c r="L171" s="173" t="s">
        <v>265</v>
      </c>
      <c r="M171" s="120" t="s">
        <v>191</v>
      </c>
    </row>
    <row r="172" spans="1:13" ht="15">
      <c r="A172" s="121"/>
      <c r="B172" s="121"/>
      <c r="C172" s="123"/>
      <c r="I172" s="120" t="s">
        <v>192</v>
      </c>
      <c r="J172" s="120">
        <f t="shared" si="5"/>
        <v>271</v>
      </c>
      <c r="K172" s="119">
        <f t="shared" si="4"/>
        <v>452300</v>
      </c>
      <c r="L172" s="173" t="s">
        <v>265</v>
      </c>
      <c r="M172" s="120" t="s">
        <v>192</v>
      </c>
    </row>
    <row r="173" spans="1:13" ht="15">
      <c r="A173" s="121"/>
      <c r="B173" s="121"/>
      <c r="C173" s="123"/>
      <c r="I173" s="120" t="s">
        <v>193</v>
      </c>
      <c r="J173" s="120">
        <f t="shared" si="5"/>
        <v>272</v>
      </c>
      <c r="K173" s="119">
        <f t="shared" si="4"/>
        <v>453100</v>
      </c>
      <c r="L173" s="173" t="s">
        <v>265</v>
      </c>
      <c r="M173" s="120" t="s">
        <v>193</v>
      </c>
    </row>
    <row r="174" spans="1:13" ht="15">
      <c r="A174" s="121"/>
      <c r="B174" s="121"/>
      <c r="C174" s="123"/>
      <c r="I174" s="120" t="s">
        <v>194</v>
      </c>
      <c r="J174" s="120">
        <f t="shared" si="5"/>
        <v>273</v>
      </c>
      <c r="K174" s="119">
        <f t="shared" si="4"/>
        <v>453900</v>
      </c>
      <c r="L174" s="173" t="s">
        <v>265</v>
      </c>
      <c r="M174" s="120" t="s">
        <v>194</v>
      </c>
    </row>
    <row r="175" spans="1:13" ht="15">
      <c r="A175" s="124"/>
      <c r="B175" s="121"/>
      <c r="C175" s="123"/>
      <c r="I175" s="120" t="s">
        <v>195</v>
      </c>
      <c r="J175" s="120">
        <f t="shared" si="5"/>
        <v>274</v>
      </c>
      <c r="K175" s="119">
        <f t="shared" si="4"/>
        <v>454000</v>
      </c>
      <c r="L175" s="173" t="s">
        <v>265</v>
      </c>
      <c r="M175" s="120" t="s">
        <v>195</v>
      </c>
    </row>
    <row r="176" spans="1:13" ht="15">
      <c r="A176" s="124"/>
      <c r="B176" s="121"/>
      <c r="C176" s="123"/>
      <c r="I176" s="120" t="s">
        <v>196</v>
      </c>
      <c r="J176" s="120">
        <f t="shared" si="5"/>
        <v>275</v>
      </c>
      <c r="K176" s="119">
        <f t="shared" si="4"/>
        <v>471100</v>
      </c>
      <c r="L176" s="173" t="s">
        <v>265</v>
      </c>
      <c r="M176" s="120" t="s">
        <v>196</v>
      </c>
    </row>
    <row r="177" spans="1:13" ht="15">
      <c r="A177" s="121"/>
      <c r="B177" s="121"/>
      <c r="C177" s="123"/>
      <c r="I177" s="120" t="s">
        <v>197</v>
      </c>
      <c r="J177" s="120">
        <f t="shared" si="5"/>
        <v>276</v>
      </c>
      <c r="K177" s="119">
        <f t="shared" si="4"/>
        <v>471900</v>
      </c>
      <c r="L177" s="173" t="s">
        <v>265</v>
      </c>
      <c r="M177" s="120" t="s">
        <v>197</v>
      </c>
    </row>
    <row r="178" spans="1:13" ht="15">
      <c r="A178" s="121"/>
      <c r="B178" s="121"/>
      <c r="C178" s="123"/>
      <c r="I178" s="120" t="s">
        <v>198</v>
      </c>
      <c r="J178" s="120">
        <f t="shared" si="5"/>
        <v>277</v>
      </c>
      <c r="K178" s="119">
        <f t="shared" si="4"/>
        <v>472100</v>
      </c>
      <c r="L178" s="173" t="s">
        <v>265</v>
      </c>
      <c r="M178" s="120" t="s">
        <v>198</v>
      </c>
    </row>
    <row r="179" spans="1:13" ht="15">
      <c r="A179" s="121"/>
      <c r="B179" s="121"/>
      <c r="C179" s="123"/>
      <c r="I179" s="120" t="s">
        <v>199</v>
      </c>
      <c r="J179" s="120">
        <f t="shared" si="5"/>
        <v>278</v>
      </c>
      <c r="K179" s="119">
        <f t="shared" si="4"/>
        <v>472200</v>
      </c>
      <c r="L179" s="173" t="s">
        <v>265</v>
      </c>
      <c r="M179" s="120" t="s">
        <v>199</v>
      </c>
    </row>
    <row r="180" spans="1:13" ht="15">
      <c r="A180" s="126"/>
      <c r="B180" s="126"/>
      <c r="C180" s="128"/>
      <c r="I180" s="120" t="s">
        <v>200</v>
      </c>
      <c r="J180" s="120">
        <f t="shared" si="5"/>
        <v>279</v>
      </c>
      <c r="K180" s="119">
        <f t="shared" si="4"/>
        <v>472300</v>
      </c>
      <c r="L180" s="173" t="s">
        <v>265</v>
      </c>
      <c r="M180" s="120" t="s">
        <v>200</v>
      </c>
    </row>
    <row r="181" spans="1:13" ht="15">
      <c r="A181" s="126"/>
      <c r="B181" s="126"/>
      <c r="C181" s="128"/>
      <c r="I181" s="120" t="s">
        <v>201</v>
      </c>
      <c r="J181" s="120">
        <f t="shared" si="5"/>
        <v>280</v>
      </c>
      <c r="K181" s="119">
        <f t="shared" si="4"/>
        <v>472900</v>
      </c>
      <c r="L181" s="173" t="s">
        <v>265</v>
      </c>
      <c r="M181" s="120" t="s">
        <v>201</v>
      </c>
    </row>
    <row r="182" spans="1:13" ht="15">
      <c r="A182" s="121"/>
      <c r="B182" s="121"/>
      <c r="C182" s="123"/>
      <c r="I182" s="120" t="s">
        <v>202</v>
      </c>
      <c r="J182" s="120">
        <f t="shared" si="5"/>
        <v>281</v>
      </c>
      <c r="K182" s="119">
        <f t="shared" si="4"/>
        <v>473000</v>
      </c>
      <c r="L182" s="173" t="s">
        <v>265</v>
      </c>
      <c r="M182" s="120" t="s">
        <v>202</v>
      </c>
    </row>
    <row r="183" spans="1:13" ht="15">
      <c r="A183" s="121"/>
      <c r="B183" s="121"/>
      <c r="C183" s="123"/>
      <c r="I183" s="120" t="s">
        <v>203</v>
      </c>
      <c r="J183" s="120">
        <f t="shared" si="5"/>
        <v>282</v>
      </c>
      <c r="K183" s="119">
        <f t="shared" si="4"/>
        <v>474100</v>
      </c>
      <c r="L183" s="173" t="s">
        <v>265</v>
      </c>
      <c r="M183" s="120" t="s">
        <v>203</v>
      </c>
    </row>
    <row r="184" spans="1:13" ht="15">
      <c r="A184" s="121"/>
      <c r="B184" s="121"/>
      <c r="C184" s="123"/>
      <c r="I184" s="120" t="s">
        <v>204</v>
      </c>
      <c r="J184" s="120">
        <f t="shared" si="5"/>
        <v>283</v>
      </c>
      <c r="K184" s="119">
        <f t="shared" si="4"/>
        <v>474200</v>
      </c>
      <c r="L184" s="173" t="s">
        <v>265</v>
      </c>
      <c r="M184" s="120" t="s">
        <v>204</v>
      </c>
    </row>
    <row r="185" spans="1:13" ht="15">
      <c r="A185" s="124"/>
      <c r="B185" s="121"/>
      <c r="C185" s="123"/>
      <c r="I185" s="120" t="s">
        <v>205</v>
      </c>
      <c r="J185" s="120">
        <f t="shared" si="5"/>
        <v>284</v>
      </c>
      <c r="K185" s="119">
        <f t="shared" si="4"/>
        <v>474900</v>
      </c>
      <c r="L185" s="173" t="s">
        <v>265</v>
      </c>
      <c r="M185" s="120" t="s">
        <v>205</v>
      </c>
    </row>
    <row r="186" spans="1:13" ht="15">
      <c r="A186" s="124"/>
      <c r="B186" s="121"/>
      <c r="C186" s="123"/>
      <c r="I186" s="120" t="s">
        <v>206</v>
      </c>
      <c r="J186" s="120">
        <f t="shared" si="5"/>
        <v>285</v>
      </c>
      <c r="K186" s="119">
        <f t="shared" si="4"/>
        <v>475000</v>
      </c>
      <c r="L186" s="173" t="s">
        <v>265</v>
      </c>
      <c r="M186" s="120" t="s">
        <v>206</v>
      </c>
    </row>
    <row r="187" spans="1:13" ht="15">
      <c r="A187" s="124"/>
      <c r="B187" s="121"/>
      <c r="C187" s="123"/>
      <c r="I187" s="120" t="s">
        <v>207</v>
      </c>
      <c r="J187" s="120">
        <f t="shared" si="5"/>
        <v>286</v>
      </c>
      <c r="K187" s="119">
        <f t="shared" si="4"/>
        <v>476000</v>
      </c>
      <c r="L187" s="173" t="s">
        <v>265</v>
      </c>
      <c r="M187" s="120" t="s">
        <v>207</v>
      </c>
    </row>
    <row r="188" spans="1:13" ht="15">
      <c r="A188" s="121"/>
      <c r="B188" s="121"/>
      <c r="C188" s="123"/>
      <c r="I188" s="120" t="s">
        <v>208</v>
      </c>
      <c r="J188" s="120">
        <f t="shared" si="5"/>
        <v>287</v>
      </c>
      <c r="K188" s="119">
        <f t="shared" si="4"/>
        <v>479100</v>
      </c>
      <c r="L188" s="173" t="s">
        <v>265</v>
      </c>
      <c r="M188" s="120" t="s">
        <v>208</v>
      </c>
    </row>
    <row r="189" spans="1:13" ht="15">
      <c r="A189" s="121"/>
      <c r="B189" s="121"/>
      <c r="C189" s="123"/>
      <c r="I189" s="120" t="s">
        <v>209</v>
      </c>
      <c r="J189" s="120">
        <f t="shared" si="5"/>
        <v>288</v>
      </c>
      <c r="K189" s="119">
        <f t="shared" si="4"/>
        <v>479200</v>
      </c>
      <c r="L189" s="173" t="s">
        <v>265</v>
      </c>
      <c r="M189" s="120" t="s">
        <v>209</v>
      </c>
    </row>
    <row r="190" spans="1:13" ht="15">
      <c r="A190" s="121"/>
      <c r="B190" s="121"/>
      <c r="C190" s="123"/>
      <c r="I190" s="120" t="s">
        <v>210</v>
      </c>
      <c r="J190" s="120">
        <f t="shared" si="5"/>
        <v>289</v>
      </c>
      <c r="K190" s="119">
        <f t="shared" si="4"/>
        <v>479900</v>
      </c>
      <c r="L190" s="173" t="s">
        <v>265</v>
      </c>
      <c r="M190" s="120" t="s">
        <v>210</v>
      </c>
    </row>
    <row r="191" spans="1:13" ht="15">
      <c r="A191" s="121"/>
      <c r="B191" s="121"/>
      <c r="C191" s="123"/>
      <c r="I191" s="120" t="s">
        <v>211</v>
      </c>
      <c r="J191" s="120">
        <f t="shared" si="5"/>
        <v>290</v>
      </c>
      <c r="K191" s="119">
        <f t="shared" si="4"/>
        <v>481100</v>
      </c>
      <c r="L191" s="173" t="s">
        <v>265</v>
      </c>
      <c r="M191" s="120" t="s">
        <v>211</v>
      </c>
    </row>
    <row r="192" spans="1:13" ht="15">
      <c r="A192" s="124"/>
      <c r="B192" s="121"/>
      <c r="C192" s="123"/>
      <c r="I192" s="120" t="s">
        <v>212</v>
      </c>
      <c r="J192" s="120">
        <f t="shared" si="5"/>
        <v>291</v>
      </c>
      <c r="K192" s="119">
        <f t="shared" si="4"/>
        <v>481200</v>
      </c>
      <c r="L192" s="173" t="s">
        <v>265</v>
      </c>
      <c r="M192" s="120" t="s">
        <v>212</v>
      </c>
    </row>
    <row r="193" spans="1:13" ht="15">
      <c r="A193" s="121"/>
      <c r="B193" s="121"/>
      <c r="C193" s="123"/>
      <c r="I193" s="120" t="s">
        <v>213</v>
      </c>
      <c r="J193" s="120">
        <f t="shared" si="5"/>
        <v>292</v>
      </c>
      <c r="K193" s="119">
        <f t="shared" si="4"/>
        <v>482200</v>
      </c>
      <c r="L193" s="173" t="s">
        <v>265</v>
      </c>
      <c r="M193" s="120" t="s">
        <v>213</v>
      </c>
    </row>
    <row r="194" spans="1:13" ht="15">
      <c r="A194" s="121"/>
      <c r="B194" s="121"/>
      <c r="C194" s="123"/>
      <c r="I194" s="120" t="s">
        <v>214</v>
      </c>
      <c r="J194" s="120">
        <f t="shared" si="5"/>
        <v>293</v>
      </c>
      <c r="K194" s="119">
        <f t="shared" si="4"/>
        <v>482300</v>
      </c>
      <c r="L194" s="173" t="s">
        <v>265</v>
      </c>
      <c r="M194" s="120" t="s">
        <v>214</v>
      </c>
    </row>
    <row r="195" spans="1:13" ht="15">
      <c r="A195" s="124"/>
      <c r="B195" s="121"/>
      <c r="C195" s="123"/>
      <c r="I195" s="120" t="s">
        <v>215</v>
      </c>
      <c r="J195" s="120">
        <f t="shared" si="5"/>
        <v>294</v>
      </c>
      <c r="K195" s="119">
        <f t="shared" ref="K195:K222" si="6">LEFT(I195,6)*1</f>
        <v>482900</v>
      </c>
      <c r="L195" s="173" t="s">
        <v>265</v>
      </c>
      <c r="M195" s="120" t="s">
        <v>215</v>
      </c>
    </row>
    <row r="196" spans="1:13" ht="15">
      <c r="A196" s="124"/>
      <c r="B196" s="121"/>
      <c r="C196" s="123"/>
      <c r="I196" s="120" t="s">
        <v>216</v>
      </c>
      <c r="J196" s="120">
        <f t="shared" ref="J196:J210" si="7">J195+1</f>
        <v>295</v>
      </c>
      <c r="K196" s="119">
        <f t="shared" si="6"/>
        <v>483000</v>
      </c>
      <c r="L196" s="173" t="s">
        <v>265</v>
      </c>
      <c r="M196" s="120" t="s">
        <v>216</v>
      </c>
    </row>
    <row r="197" spans="1:13" ht="15">
      <c r="A197" s="124"/>
      <c r="B197" s="121"/>
      <c r="C197" s="123"/>
      <c r="I197" s="120" t="s">
        <v>217</v>
      </c>
      <c r="J197" s="120">
        <f t="shared" si="7"/>
        <v>296</v>
      </c>
      <c r="K197" s="119">
        <f t="shared" si="6"/>
        <v>483100</v>
      </c>
      <c r="L197" s="173" t="s">
        <v>265</v>
      </c>
      <c r="M197" s="120" t="s">
        <v>217</v>
      </c>
    </row>
    <row r="198" spans="1:13" ht="15">
      <c r="A198" s="121"/>
      <c r="B198" s="121"/>
      <c r="C198" s="123"/>
      <c r="I198" s="120" t="s">
        <v>218</v>
      </c>
      <c r="J198" s="120">
        <f t="shared" si="7"/>
        <v>297</v>
      </c>
      <c r="K198" s="119">
        <f t="shared" si="6"/>
        <v>483200</v>
      </c>
      <c r="L198" s="173" t="s">
        <v>265</v>
      </c>
      <c r="M198" s="120" t="s">
        <v>218</v>
      </c>
    </row>
    <row r="199" spans="1:13" ht="15">
      <c r="A199" s="121"/>
      <c r="B199" s="121"/>
      <c r="C199" s="123"/>
      <c r="I199" s="120" t="s">
        <v>219</v>
      </c>
      <c r="J199" s="120">
        <f t="shared" si="7"/>
        <v>298</v>
      </c>
      <c r="K199" s="119">
        <f t="shared" si="6"/>
        <v>483300</v>
      </c>
      <c r="L199" s="173" t="s">
        <v>265</v>
      </c>
      <c r="M199" s="120" t="s">
        <v>219</v>
      </c>
    </row>
    <row r="200" spans="1:13" ht="15">
      <c r="A200" s="124"/>
      <c r="B200" s="121"/>
      <c r="C200" s="123"/>
      <c r="I200" s="120" t="s">
        <v>220</v>
      </c>
      <c r="J200" s="120">
        <f t="shared" si="7"/>
        <v>299</v>
      </c>
      <c r="K200" s="119">
        <f t="shared" si="6"/>
        <v>484000</v>
      </c>
      <c r="L200" s="173" t="s">
        <v>265</v>
      </c>
      <c r="M200" s="120" t="s">
        <v>220</v>
      </c>
    </row>
    <row r="201" spans="1:13" ht="15">
      <c r="A201" s="124"/>
      <c r="B201" s="121"/>
      <c r="C201" s="123"/>
      <c r="I201" s="120" t="s">
        <v>221</v>
      </c>
      <c r="J201" s="120">
        <f t="shared" si="7"/>
        <v>300</v>
      </c>
      <c r="K201" s="119">
        <f t="shared" si="6"/>
        <v>491000</v>
      </c>
      <c r="L201" s="173" t="s">
        <v>265</v>
      </c>
      <c r="M201" s="120" t="s">
        <v>221</v>
      </c>
    </row>
    <row r="202" spans="1:13" ht="15">
      <c r="A202" s="124"/>
      <c r="B202" s="121"/>
      <c r="C202" s="123"/>
      <c r="I202" s="120" t="s">
        <v>222</v>
      </c>
      <c r="J202" s="120">
        <f t="shared" si="7"/>
        <v>301</v>
      </c>
      <c r="K202" s="119">
        <f t="shared" si="6"/>
        <v>492000</v>
      </c>
      <c r="L202" s="173" t="s">
        <v>265</v>
      </c>
      <c r="M202" s="120" t="s">
        <v>222</v>
      </c>
    </row>
    <row r="203" spans="1:13" ht="15">
      <c r="A203" s="121"/>
      <c r="B203" s="121"/>
      <c r="C203" s="123"/>
      <c r="I203" s="120" t="s">
        <v>223</v>
      </c>
      <c r="J203" s="120">
        <f t="shared" si="7"/>
        <v>302</v>
      </c>
      <c r="K203" s="119">
        <f t="shared" si="6"/>
        <v>511000</v>
      </c>
      <c r="L203" s="173" t="s">
        <v>265</v>
      </c>
      <c r="M203" s="120" t="s">
        <v>223</v>
      </c>
    </row>
    <row r="204" spans="1:13" ht="15">
      <c r="A204" s="124"/>
      <c r="B204" s="121"/>
      <c r="C204" s="123"/>
      <c r="I204" s="120" t="s">
        <v>224</v>
      </c>
      <c r="J204" s="120">
        <f t="shared" si="7"/>
        <v>303</v>
      </c>
      <c r="K204" s="119">
        <f t="shared" si="6"/>
        <v>531130</v>
      </c>
      <c r="L204" s="173" t="s">
        <v>265</v>
      </c>
      <c r="M204" s="120" t="s">
        <v>224</v>
      </c>
    </row>
    <row r="205" spans="1:13" ht="15">
      <c r="A205" s="124"/>
      <c r="B205" s="121"/>
      <c r="C205" s="123"/>
      <c r="I205" s="120" t="s">
        <v>225</v>
      </c>
      <c r="J205" s="120">
        <f t="shared" si="7"/>
        <v>304</v>
      </c>
      <c r="K205" s="119">
        <f t="shared" si="6"/>
        <v>531200</v>
      </c>
      <c r="L205" s="173" t="s">
        <v>265</v>
      </c>
      <c r="M205" s="120" t="s">
        <v>225</v>
      </c>
    </row>
    <row r="206" spans="1:13" ht="15">
      <c r="A206" s="124"/>
      <c r="B206" s="121"/>
      <c r="C206" s="123"/>
      <c r="I206" s="120" t="s">
        <v>226</v>
      </c>
      <c r="J206" s="120">
        <f t="shared" si="7"/>
        <v>305</v>
      </c>
      <c r="K206" s="119">
        <f t="shared" si="6"/>
        <v>531300</v>
      </c>
      <c r="L206" s="173" t="s">
        <v>265</v>
      </c>
      <c r="M206" s="120" t="s">
        <v>226</v>
      </c>
    </row>
    <row r="207" spans="1:13" ht="15">
      <c r="A207" s="124"/>
      <c r="B207" s="121"/>
      <c r="C207" s="123"/>
      <c r="I207" s="120" t="s">
        <v>227</v>
      </c>
      <c r="J207" s="120">
        <f t="shared" si="7"/>
        <v>306</v>
      </c>
      <c r="K207" s="119">
        <f t="shared" si="6"/>
        <v>531430</v>
      </c>
      <c r="L207" s="173" t="s">
        <v>265</v>
      </c>
      <c r="M207" s="120" t="s">
        <v>227</v>
      </c>
    </row>
    <row r="208" spans="1:13" ht="15">
      <c r="A208" s="124"/>
      <c r="B208" s="121"/>
      <c r="C208" s="123"/>
      <c r="I208" s="120" t="s">
        <v>228</v>
      </c>
      <c r="J208" s="120">
        <f t="shared" si="7"/>
        <v>307</v>
      </c>
      <c r="K208" s="119">
        <f t="shared" si="6"/>
        <v>531440</v>
      </c>
      <c r="L208" s="173" t="s">
        <v>265</v>
      </c>
      <c r="M208" s="120" t="s">
        <v>228</v>
      </c>
    </row>
    <row r="209" spans="1:13" ht="15">
      <c r="A209" s="124"/>
      <c r="B209" s="121"/>
      <c r="C209" s="123"/>
      <c r="I209" s="120" t="s">
        <v>229</v>
      </c>
      <c r="J209" s="120">
        <f t="shared" si="7"/>
        <v>308</v>
      </c>
      <c r="K209" s="119">
        <f t="shared" si="6"/>
        <v>531450</v>
      </c>
      <c r="L209" s="173" t="s">
        <v>265</v>
      </c>
      <c r="M209" s="120" t="s">
        <v>229</v>
      </c>
    </row>
    <row r="210" spans="1:13" ht="15">
      <c r="A210" s="124"/>
      <c r="B210" s="121"/>
      <c r="C210" s="123"/>
      <c r="I210" s="120" t="s">
        <v>230</v>
      </c>
      <c r="J210" s="120">
        <f t="shared" si="7"/>
        <v>309</v>
      </c>
      <c r="K210" s="119">
        <f t="shared" si="6"/>
        <v>531940</v>
      </c>
      <c r="L210" s="173" t="s">
        <v>265</v>
      </c>
      <c r="M210" s="120" t="s">
        <v>230</v>
      </c>
    </row>
    <row r="211" spans="1:13" ht="15">
      <c r="A211" s="121"/>
      <c r="B211" s="121"/>
      <c r="C211" s="123"/>
      <c r="I211" s="120" t="s">
        <v>231</v>
      </c>
      <c r="J211" s="120">
        <v>310</v>
      </c>
      <c r="K211" s="119">
        <f>LEFT(I211,6)*1</f>
        <v>532000</v>
      </c>
      <c r="L211" s="173" t="s">
        <v>265</v>
      </c>
      <c r="M211" s="120" t="s">
        <v>231</v>
      </c>
    </row>
    <row r="212" spans="1:13" ht="15">
      <c r="A212" s="121"/>
      <c r="B212" s="121"/>
      <c r="C212" s="123"/>
      <c r="I212" s="120" t="s">
        <v>232</v>
      </c>
      <c r="J212" s="120">
        <v>311</v>
      </c>
      <c r="K212" s="119">
        <f t="shared" si="6"/>
        <v>534000</v>
      </c>
      <c r="L212" s="173" t="s">
        <v>265</v>
      </c>
      <c r="M212" s="120" t="s">
        <v>232</v>
      </c>
    </row>
    <row r="213" spans="1:13" ht="15">
      <c r="A213" s="121"/>
      <c r="B213" s="121"/>
      <c r="C213" s="123"/>
      <c r="I213" s="120" t="s">
        <v>233</v>
      </c>
      <c r="J213" s="120">
        <v>312</v>
      </c>
      <c r="K213" s="119">
        <f t="shared" si="6"/>
        <v>535000</v>
      </c>
      <c r="L213" s="173" t="s">
        <v>265</v>
      </c>
      <c r="M213" s="120" t="s">
        <v>233</v>
      </c>
    </row>
    <row r="214" spans="1:13" ht="15">
      <c r="A214" s="124"/>
      <c r="B214" s="121"/>
      <c r="C214" s="123"/>
      <c r="I214" s="120" t="s">
        <v>234</v>
      </c>
      <c r="J214" s="120">
        <v>313</v>
      </c>
      <c r="K214" s="119">
        <f t="shared" si="6"/>
        <v>537000</v>
      </c>
      <c r="L214" s="173" t="s">
        <v>265</v>
      </c>
      <c r="M214" s="120" t="s">
        <v>234</v>
      </c>
    </row>
    <row r="215" spans="1:13" ht="15">
      <c r="A215" s="124"/>
      <c r="B215" s="121"/>
      <c r="C215" s="123"/>
      <c r="I215" s="120" t="s">
        <v>235</v>
      </c>
      <c r="J215" s="120">
        <v>314</v>
      </c>
      <c r="K215" s="119">
        <f t="shared" si="6"/>
        <v>537100</v>
      </c>
      <c r="L215" s="173" t="s">
        <v>265</v>
      </c>
      <c r="M215" s="120" t="s">
        <v>235</v>
      </c>
    </row>
    <row r="216" spans="1:13" ht="15">
      <c r="A216" s="124"/>
      <c r="B216" s="121"/>
      <c r="C216" s="123"/>
      <c r="I216" s="120" t="s">
        <v>236</v>
      </c>
      <c r="J216" s="120">
        <v>315</v>
      </c>
      <c r="K216" s="119">
        <f t="shared" si="6"/>
        <v>538040</v>
      </c>
      <c r="L216" s="173" t="s">
        <v>265</v>
      </c>
      <c r="M216" s="120" t="s">
        <v>236</v>
      </c>
    </row>
    <row r="217" spans="1:13" ht="15">
      <c r="A217" s="121"/>
      <c r="B217" s="121"/>
      <c r="C217" s="123"/>
      <c r="I217" s="120" t="s">
        <v>237</v>
      </c>
      <c r="J217" s="120">
        <v>316</v>
      </c>
      <c r="K217" s="119">
        <f t="shared" si="6"/>
        <v>539100</v>
      </c>
      <c r="L217" s="173" t="s">
        <v>265</v>
      </c>
      <c r="M217" s="120" t="s">
        <v>237</v>
      </c>
    </row>
    <row r="218" spans="1:13" ht="15">
      <c r="I218" s="120" t="s">
        <v>238</v>
      </c>
      <c r="J218" s="120">
        <v>317</v>
      </c>
      <c r="K218" s="119">
        <f t="shared" si="6"/>
        <v>539940</v>
      </c>
      <c r="L218" s="173" t="s">
        <v>265</v>
      </c>
      <c r="M218" s="120" t="s">
        <v>238</v>
      </c>
    </row>
    <row r="219" spans="1:13" ht="15">
      <c r="I219" s="120" t="s">
        <v>239</v>
      </c>
      <c r="J219" s="120">
        <v>318</v>
      </c>
      <c r="K219" s="119">
        <f t="shared" si="6"/>
        <v>592000</v>
      </c>
      <c r="L219" s="173" t="s">
        <v>265</v>
      </c>
      <c r="M219" s="120" t="s">
        <v>239</v>
      </c>
    </row>
    <row r="220" spans="1:13" ht="15">
      <c r="I220" s="120" t="s">
        <v>240</v>
      </c>
      <c r="J220" s="120">
        <v>319</v>
      </c>
      <c r="K220" s="119">
        <f t="shared" si="6"/>
        <v>599100</v>
      </c>
      <c r="L220" s="173" t="s">
        <v>265</v>
      </c>
      <c r="M220" s="120" t="s">
        <v>240</v>
      </c>
    </row>
    <row r="221" spans="1:13" ht="15">
      <c r="I221" s="120" t="s">
        <v>241</v>
      </c>
      <c r="J221" s="120">
        <v>320</v>
      </c>
      <c r="K221" s="119">
        <f t="shared" si="6"/>
        <v>599200</v>
      </c>
      <c r="L221" s="173" t="s">
        <v>265</v>
      </c>
      <c r="M221" s="120" t="s">
        <v>241</v>
      </c>
    </row>
    <row r="222" spans="1:13" ht="15">
      <c r="I222" s="120" t="s">
        <v>242</v>
      </c>
      <c r="J222" s="120">
        <v>321</v>
      </c>
      <c r="K222" s="119">
        <f t="shared" si="6"/>
        <v>599940</v>
      </c>
      <c r="L222" s="173" t="s">
        <v>265</v>
      </c>
      <c r="M222" s="120" t="s">
        <v>242</v>
      </c>
    </row>
    <row r="514" spans="1:1">
      <c r="A514" s="129"/>
    </row>
    <row r="515" spans="1:1">
      <c r="A515" s="129"/>
    </row>
  </sheetData>
  <sheetProtection password="C597" sheet="1" objects="1" scenarios="1"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N260"/>
  <sheetViews>
    <sheetView workbookViewId="0">
      <pane ySplit="1" topLeftCell="A23" activePane="bottomLeft" state="frozen"/>
      <selection activeCell="C45" sqref="C45"/>
      <selection pane="bottomLeft" activeCell="C1" sqref="C1:K1048576"/>
    </sheetView>
  </sheetViews>
  <sheetFormatPr baseColWidth="10" defaultColWidth="11.42578125" defaultRowHeight="12.75"/>
  <cols>
    <col min="1" max="1" width="9.140625" style="157" customWidth="1"/>
    <col min="2" max="2" width="41.42578125" style="23" bestFit="1" customWidth="1"/>
    <col min="3" max="3" width="18.7109375" style="23" hidden="1" customWidth="1"/>
    <col min="4" max="4" width="15.28515625" style="23" hidden="1" customWidth="1"/>
    <col min="5" max="6" width="14" style="24" hidden="1" customWidth="1"/>
    <col min="7" max="7" width="24" style="24" hidden="1" customWidth="1"/>
    <col min="8" max="8" width="7.7109375" style="23" hidden="1" customWidth="1"/>
    <col min="9" max="9" width="7" style="23" hidden="1" customWidth="1"/>
    <col min="10" max="10" width="23.7109375" style="23" hidden="1" customWidth="1"/>
    <col min="11" max="11" width="11.42578125" style="23" hidden="1" customWidth="1"/>
    <col min="12" max="13" width="11.42578125" style="23"/>
    <col min="14" max="14" width="23.28515625" style="23" customWidth="1"/>
    <col min="15" max="16384" width="11.42578125" style="23"/>
  </cols>
  <sheetData>
    <row r="1" spans="1:14" s="16" customFormat="1" ht="27" customHeight="1">
      <c r="A1" s="21" t="s">
        <v>15</v>
      </c>
      <c r="B1" s="17" t="s">
        <v>16</v>
      </c>
      <c r="C1" s="18" t="s">
        <v>17</v>
      </c>
      <c r="D1" s="19" t="s">
        <v>18</v>
      </c>
      <c r="E1" s="16" t="s">
        <v>9</v>
      </c>
      <c r="F1" s="16" t="s">
        <v>287</v>
      </c>
      <c r="G1" s="159" t="s">
        <v>288</v>
      </c>
      <c r="H1" s="20"/>
      <c r="I1" s="21"/>
      <c r="J1" s="22"/>
      <c r="L1" s="136" t="s">
        <v>19</v>
      </c>
      <c r="M1" s="137">
        <v>90003</v>
      </c>
      <c r="N1" s="138" t="s">
        <v>289</v>
      </c>
    </row>
    <row r="2" spans="1:14">
      <c r="A2" s="213">
        <v>1</v>
      </c>
      <c r="B2" s="162" t="s">
        <v>290</v>
      </c>
      <c r="C2" s="75" t="str">
        <f t="shared" ref="C2:C65" si="0">MID(B2,5,100)</f>
        <v>RVV Rheinhessen</v>
      </c>
      <c r="D2" s="74" t="str">
        <f t="shared" ref="D2:D65" si="1">IF(LEN($A2)&lt;=4,LEFT(TEXT($A2,"0000"),4),LEFT(TEXT($A2,"000000"),4))</f>
        <v>0001</v>
      </c>
      <c r="E2" s="74" t="str">
        <f t="shared" ref="E2:E65" si="2">$M$1&amp;$D2</f>
        <v>900030001</v>
      </c>
      <c r="F2" s="155"/>
      <c r="G2" s="165"/>
    </row>
    <row r="3" spans="1:14">
      <c r="A3" s="213">
        <v>202</v>
      </c>
      <c r="B3" s="161" t="s">
        <v>313</v>
      </c>
      <c r="C3" s="75" t="str">
        <f t="shared" si="0"/>
        <v>Kirchengemeinde Albig</v>
      </c>
      <c r="D3" s="74" t="str">
        <f t="shared" si="1"/>
        <v>0202</v>
      </c>
      <c r="E3" s="74" t="str">
        <f t="shared" si="2"/>
        <v>900030202</v>
      </c>
      <c r="F3" s="155">
        <v>900030298</v>
      </c>
      <c r="G3" s="161" t="s">
        <v>314</v>
      </c>
    </row>
    <row r="4" spans="1:14">
      <c r="A4" s="213">
        <v>203</v>
      </c>
      <c r="B4" s="161" t="s">
        <v>315</v>
      </c>
      <c r="C4" s="75" t="str">
        <f t="shared" si="0"/>
        <v>Kirchengemeinde Alzey</v>
      </c>
      <c r="D4" s="74" t="str">
        <f t="shared" si="1"/>
        <v>0203</v>
      </c>
      <c r="E4" s="74" t="str">
        <f t="shared" si="2"/>
        <v>900030203</v>
      </c>
      <c r="F4" s="155">
        <v>900030298</v>
      </c>
      <c r="G4" s="161" t="s">
        <v>314</v>
      </c>
    </row>
    <row r="5" spans="1:14">
      <c r="A5" s="213">
        <v>204</v>
      </c>
      <c r="B5" s="161" t="s">
        <v>316</v>
      </c>
      <c r="C5" s="75" t="str">
        <f t="shared" si="0"/>
        <v>Kirchengemeinde Armsheim</v>
      </c>
      <c r="D5" s="74" t="str">
        <f t="shared" si="1"/>
        <v>0204</v>
      </c>
      <c r="E5" s="74" t="str">
        <f t="shared" si="2"/>
        <v>900030204</v>
      </c>
      <c r="F5" s="155">
        <v>900030298</v>
      </c>
      <c r="G5" s="161" t="s">
        <v>314</v>
      </c>
    </row>
    <row r="6" spans="1:14">
      <c r="A6" s="213">
        <v>205</v>
      </c>
      <c r="B6" s="161" t="s">
        <v>317</v>
      </c>
      <c r="C6" s="75" t="str">
        <f t="shared" si="0"/>
        <v>Kirchengemeinde Bechenheim</v>
      </c>
      <c r="D6" s="74" t="str">
        <f t="shared" si="1"/>
        <v>0205</v>
      </c>
      <c r="E6" s="74" t="str">
        <f t="shared" si="2"/>
        <v>900030205</v>
      </c>
      <c r="F6" s="155">
        <v>900030298</v>
      </c>
      <c r="G6" s="161" t="s">
        <v>314</v>
      </c>
    </row>
    <row r="7" spans="1:14">
      <c r="A7" s="213">
        <v>206</v>
      </c>
      <c r="B7" s="161" t="s">
        <v>318</v>
      </c>
      <c r="C7" s="75" t="str">
        <f t="shared" si="0"/>
        <v>Kirchengemeinde Bechtolsheim</v>
      </c>
      <c r="D7" s="74" t="str">
        <f t="shared" si="1"/>
        <v>0206</v>
      </c>
      <c r="E7" s="74" t="str">
        <f t="shared" si="2"/>
        <v>900030206</v>
      </c>
      <c r="F7" s="155">
        <v>900030298</v>
      </c>
      <c r="G7" s="161" t="s">
        <v>314</v>
      </c>
    </row>
    <row r="8" spans="1:14">
      <c r="A8" s="213">
        <v>207</v>
      </c>
      <c r="B8" s="161" t="s">
        <v>319</v>
      </c>
      <c r="C8" s="75" t="str">
        <f t="shared" si="0"/>
        <v>Kirchengemeinde Bermersheim v.d.H.</v>
      </c>
      <c r="D8" s="74" t="str">
        <f t="shared" si="1"/>
        <v>0207</v>
      </c>
      <c r="E8" s="74" t="str">
        <f t="shared" si="2"/>
        <v>900030207</v>
      </c>
      <c r="F8" s="155">
        <v>900030298</v>
      </c>
      <c r="G8" s="161" t="s">
        <v>314</v>
      </c>
    </row>
    <row r="9" spans="1:14">
      <c r="A9" s="213">
        <v>208</v>
      </c>
      <c r="B9" s="161" t="s">
        <v>320</v>
      </c>
      <c r="C9" s="75" t="str">
        <f t="shared" si="0"/>
        <v>Kirchengemeinde Biebelnheim</v>
      </c>
      <c r="D9" s="74" t="str">
        <f t="shared" si="1"/>
        <v>0208</v>
      </c>
      <c r="E9" s="74" t="str">
        <f t="shared" si="2"/>
        <v>900030208</v>
      </c>
      <c r="F9" s="155">
        <v>900030298</v>
      </c>
      <c r="G9" s="161" t="s">
        <v>314</v>
      </c>
    </row>
    <row r="10" spans="1:14">
      <c r="A10" s="213">
        <v>209</v>
      </c>
      <c r="B10" s="161" t="s">
        <v>321</v>
      </c>
      <c r="C10" s="75" t="str">
        <f t="shared" si="0"/>
        <v>Kirchengemeinde Hochborn</v>
      </c>
      <c r="D10" s="74" t="str">
        <f t="shared" si="1"/>
        <v>0209</v>
      </c>
      <c r="E10" s="74" t="str">
        <f t="shared" si="2"/>
        <v>900030209</v>
      </c>
      <c r="F10" s="155">
        <v>900030298</v>
      </c>
      <c r="G10" s="161" t="s">
        <v>314</v>
      </c>
    </row>
    <row r="11" spans="1:14">
      <c r="A11" s="213">
        <v>210</v>
      </c>
      <c r="B11" s="161" t="s">
        <v>322</v>
      </c>
      <c r="C11" s="75" t="str">
        <f t="shared" si="0"/>
        <v>Kirchengemeinde Bornheim</v>
      </c>
      <c r="D11" s="74" t="str">
        <f t="shared" si="1"/>
        <v>0210</v>
      </c>
      <c r="E11" s="74" t="str">
        <f t="shared" si="2"/>
        <v>900030210</v>
      </c>
      <c r="F11" s="155">
        <v>900030298</v>
      </c>
      <c r="G11" s="161" t="s">
        <v>314</v>
      </c>
    </row>
    <row r="12" spans="1:14">
      <c r="A12" s="213">
        <v>211</v>
      </c>
      <c r="B12" s="161" t="s">
        <v>323</v>
      </c>
      <c r="C12" s="75" t="str">
        <f t="shared" si="0"/>
        <v>Kirchengemeinde Dautenheim</v>
      </c>
      <c r="D12" s="74" t="str">
        <f t="shared" si="1"/>
        <v>0211</v>
      </c>
      <c r="E12" s="74" t="str">
        <f t="shared" si="2"/>
        <v>900030211</v>
      </c>
      <c r="F12" s="155">
        <v>900030298</v>
      </c>
      <c r="G12" s="161" t="s">
        <v>314</v>
      </c>
    </row>
    <row r="13" spans="1:14">
      <c r="A13" s="213">
        <v>213</v>
      </c>
      <c r="B13" s="161" t="s">
        <v>324</v>
      </c>
      <c r="C13" s="75" t="str">
        <f t="shared" si="0"/>
        <v>Kirchengemeinde Ensheim</v>
      </c>
      <c r="D13" s="74" t="str">
        <f t="shared" si="1"/>
        <v>0213</v>
      </c>
      <c r="E13" s="74" t="str">
        <f t="shared" si="2"/>
        <v>900030213</v>
      </c>
      <c r="F13" s="155">
        <v>900030298</v>
      </c>
      <c r="G13" s="161" t="s">
        <v>314</v>
      </c>
    </row>
    <row r="14" spans="1:14">
      <c r="A14" s="213">
        <v>214</v>
      </c>
      <c r="B14" s="161" t="s">
        <v>325</v>
      </c>
      <c r="C14" s="75" t="str">
        <f t="shared" si="0"/>
        <v>Kirchengemeinde Dintesheim-Eppelsheim</v>
      </c>
      <c r="D14" s="74" t="str">
        <f t="shared" si="1"/>
        <v>0214</v>
      </c>
      <c r="E14" s="74" t="str">
        <f t="shared" si="2"/>
        <v>900030214</v>
      </c>
      <c r="F14" s="155">
        <v>900030298</v>
      </c>
      <c r="G14" s="161" t="s">
        <v>314</v>
      </c>
    </row>
    <row r="15" spans="1:14">
      <c r="A15" s="213">
        <v>216</v>
      </c>
      <c r="B15" s="161" t="s">
        <v>326</v>
      </c>
      <c r="C15" s="75" t="str">
        <f t="shared" si="0"/>
        <v>Kirchengemeinde Flomborn</v>
      </c>
      <c r="D15" s="74" t="str">
        <f t="shared" si="1"/>
        <v>0216</v>
      </c>
      <c r="E15" s="74" t="str">
        <f t="shared" si="2"/>
        <v>900030216</v>
      </c>
      <c r="F15" s="155">
        <v>900030298</v>
      </c>
      <c r="G15" s="161" t="s">
        <v>314</v>
      </c>
    </row>
    <row r="16" spans="1:14">
      <c r="A16" s="213">
        <v>217</v>
      </c>
      <c r="B16" s="161" t="s">
        <v>327</v>
      </c>
      <c r="C16" s="75" t="str">
        <f t="shared" si="0"/>
        <v>Kirchengemeinde Flonheim-Uffhofen</v>
      </c>
      <c r="D16" s="74" t="str">
        <f t="shared" si="1"/>
        <v>0217</v>
      </c>
      <c r="E16" s="74" t="str">
        <f t="shared" si="2"/>
        <v>900030217</v>
      </c>
      <c r="F16" s="155">
        <v>900030298</v>
      </c>
      <c r="G16" s="161" t="s">
        <v>314</v>
      </c>
    </row>
    <row r="17" spans="1:7">
      <c r="A17" s="213">
        <v>218</v>
      </c>
      <c r="B17" s="161" t="s">
        <v>328</v>
      </c>
      <c r="C17" s="75" t="str">
        <f t="shared" si="0"/>
        <v>Kirchengemeinde Framersheim</v>
      </c>
      <c r="D17" s="74" t="str">
        <f t="shared" si="1"/>
        <v>0218</v>
      </c>
      <c r="E17" s="74" t="str">
        <f t="shared" si="2"/>
        <v>900030218</v>
      </c>
      <c r="F17" s="155">
        <v>900030298</v>
      </c>
      <c r="G17" s="161" t="s">
        <v>314</v>
      </c>
    </row>
    <row r="18" spans="1:7">
      <c r="A18" s="213">
        <v>220</v>
      </c>
      <c r="B18" s="161" t="s">
        <v>329</v>
      </c>
      <c r="C18" s="75" t="str">
        <f t="shared" si="0"/>
        <v>Barbaragemeinde Gau-Heppenheim</v>
      </c>
      <c r="D18" s="74" t="str">
        <f t="shared" si="1"/>
        <v>0220</v>
      </c>
      <c r="E18" s="74" t="str">
        <f t="shared" si="2"/>
        <v>900030220</v>
      </c>
      <c r="F18" s="155">
        <v>900030298</v>
      </c>
      <c r="G18" s="161" t="s">
        <v>314</v>
      </c>
    </row>
    <row r="19" spans="1:7">
      <c r="A19" s="213">
        <v>221</v>
      </c>
      <c r="B19" s="161" t="s">
        <v>330</v>
      </c>
      <c r="C19" s="75" t="str">
        <f t="shared" si="0"/>
        <v>Kirchengemeinde Gau-Köngernheim</v>
      </c>
      <c r="D19" s="74" t="str">
        <f t="shared" si="1"/>
        <v>0221</v>
      </c>
      <c r="E19" s="74" t="str">
        <f t="shared" si="2"/>
        <v>900030221</v>
      </c>
      <c r="F19" s="155">
        <v>900030298</v>
      </c>
      <c r="G19" s="161" t="s">
        <v>314</v>
      </c>
    </row>
    <row r="20" spans="1:7">
      <c r="A20" s="213">
        <v>222</v>
      </c>
      <c r="B20" s="161" t="s">
        <v>331</v>
      </c>
      <c r="C20" s="75" t="str">
        <f t="shared" si="0"/>
        <v>Kirchengemeinde Gau-Odernheim</v>
      </c>
      <c r="D20" s="74" t="str">
        <f t="shared" si="1"/>
        <v>0222</v>
      </c>
      <c r="E20" s="74" t="str">
        <f t="shared" si="2"/>
        <v>900030222</v>
      </c>
      <c r="F20" s="155">
        <v>900030298</v>
      </c>
      <c r="G20" s="161" t="s">
        <v>314</v>
      </c>
    </row>
    <row r="21" spans="1:7">
      <c r="A21" s="213">
        <v>223</v>
      </c>
      <c r="B21" s="161" t="s">
        <v>332</v>
      </c>
      <c r="C21" s="75" t="str">
        <f t="shared" si="0"/>
        <v>Kirchengemeinde Gundersheim</v>
      </c>
      <c r="D21" s="74" t="str">
        <f t="shared" si="1"/>
        <v>0223</v>
      </c>
      <c r="E21" s="74" t="str">
        <f t="shared" si="2"/>
        <v>900030223</v>
      </c>
      <c r="F21" s="155">
        <v>900030298</v>
      </c>
      <c r="G21" s="161" t="s">
        <v>314</v>
      </c>
    </row>
    <row r="22" spans="1:7">
      <c r="A22" s="213">
        <v>224</v>
      </c>
      <c r="B22" s="161" t="s">
        <v>333</v>
      </c>
      <c r="C22" s="75" t="str">
        <f t="shared" si="0"/>
        <v>Kirchengemeinde Hangen-Weisheim</v>
      </c>
      <c r="D22" s="74" t="str">
        <f t="shared" si="1"/>
        <v>0224</v>
      </c>
      <c r="E22" s="74" t="str">
        <f t="shared" si="2"/>
        <v>900030224</v>
      </c>
      <c r="F22" s="155">
        <v>900030298</v>
      </c>
      <c r="G22" s="161" t="s">
        <v>314</v>
      </c>
    </row>
    <row r="23" spans="1:7">
      <c r="A23" s="213">
        <v>225</v>
      </c>
      <c r="B23" s="161" t="s">
        <v>334</v>
      </c>
      <c r="C23" s="75" t="str">
        <f t="shared" si="0"/>
        <v>Kirchengemeinde Heimersheim</v>
      </c>
      <c r="D23" s="74" t="str">
        <f t="shared" si="1"/>
        <v>0225</v>
      </c>
      <c r="E23" s="74" t="str">
        <f t="shared" si="2"/>
        <v>900030225</v>
      </c>
      <c r="F23" s="155">
        <v>900030298</v>
      </c>
      <c r="G23" s="161" t="s">
        <v>314</v>
      </c>
    </row>
    <row r="24" spans="1:7">
      <c r="A24" s="213">
        <v>226</v>
      </c>
      <c r="B24" s="161" t="s">
        <v>335</v>
      </c>
      <c r="C24" s="75" t="str">
        <f t="shared" si="0"/>
        <v>Kirchengemeinde Kettenheimer Grund</v>
      </c>
      <c r="D24" s="74" t="str">
        <f t="shared" si="1"/>
        <v>0226</v>
      </c>
      <c r="E24" s="74" t="str">
        <f t="shared" si="2"/>
        <v>900030226</v>
      </c>
      <c r="F24" s="155">
        <v>900030298</v>
      </c>
      <c r="G24" s="161" t="s">
        <v>314</v>
      </c>
    </row>
    <row r="25" spans="1:7">
      <c r="A25" s="213">
        <v>227</v>
      </c>
      <c r="B25" s="161" t="s">
        <v>336</v>
      </c>
      <c r="C25" s="75" t="str">
        <f t="shared" si="0"/>
        <v>Kirchengemeinde Lonsheim</v>
      </c>
      <c r="D25" s="74" t="str">
        <f t="shared" si="1"/>
        <v>0227</v>
      </c>
      <c r="E25" s="74" t="str">
        <f t="shared" si="2"/>
        <v>900030227</v>
      </c>
      <c r="F25" s="155">
        <v>900030298</v>
      </c>
      <c r="G25" s="161" t="s">
        <v>314</v>
      </c>
    </row>
    <row r="26" spans="1:7">
      <c r="A26" s="213">
        <v>228</v>
      </c>
      <c r="B26" s="161" t="s">
        <v>337</v>
      </c>
      <c r="C26" s="75" t="str">
        <f t="shared" si="0"/>
        <v>Kirchengemeinde Nieder-Wiesen</v>
      </c>
      <c r="D26" s="74" t="str">
        <f t="shared" si="1"/>
        <v>0228</v>
      </c>
      <c r="E26" s="74" t="str">
        <f t="shared" si="2"/>
        <v>900030228</v>
      </c>
      <c r="F26" s="155">
        <v>900030298</v>
      </c>
      <c r="G26" s="161" t="s">
        <v>314</v>
      </c>
    </row>
    <row r="27" spans="1:7">
      <c r="A27" s="213">
        <v>229</v>
      </c>
      <c r="B27" s="161" t="s">
        <v>338</v>
      </c>
      <c r="C27" s="75" t="str">
        <f t="shared" si="0"/>
        <v>Kirchengemeinde Ober-Flörsheim</v>
      </c>
      <c r="D27" s="74" t="str">
        <f t="shared" si="1"/>
        <v>0229</v>
      </c>
      <c r="E27" s="74" t="str">
        <f t="shared" si="2"/>
        <v>900030229</v>
      </c>
      <c r="F27" s="155">
        <v>900030298</v>
      </c>
      <c r="G27" s="161" t="s">
        <v>314</v>
      </c>
    </row>
    <row r="28" spans="1:7">
      <c r="A28" s="213">
        <v>230</v>
      </c>
      <c r="B28" s="161" t="s">
        <v>339</v>
      </c>
      <c r="C28" s="75" t="str">
        <f t="shared" si="0"/>
        <v>Kirchengemeinde Offenheim</v>
      </c>
      <c r="D28" s="74" t="str">
        <f t="shared" si="1"/>
        <v>0230</v>
      </c>
      <c r="E28" s="74" t="str">
        <f t="shared" si="2"/>
        <v>900030230</v>
      </c>
      <c r="F28" s="155">
        <v>900030298</v>
      </c>
      <c r="G28" s="161" t="s">
        <v>314</v>
      </c>
    </row>
    <row r="29" spans="1:7">
      <c r="A29" s="213">
        <v>231</v>
      </c>
      <c r="B29" s="161" t="s">
        <v>340</v>
      </c>
      <c r="C29" s="75" t="str">
        <f t="shared" si="0"/>
        <v>Kirchengemeinde Spiesheim</v>
      </c>
      <c r="D29" s="74" t="str">
        <f t="shared" si="1"/>
        <v>0231</v>
      </c>
      <c r="E29" s="74" t="str">
        <f t="shared" si="2"/>
        <v>900030231</v>
      </c>
      <c r="F29" s="155">
        <v>900030298</v>
      </c>
      <c r="G29" s="161" t="s">
        <v>314</v>
      </c>
    </row>
    <row r="30" spans="1:7">
      <c r="A30" s="213">
        <v>233</v>
      </c>
      <c r="B30" s="161" t="s">
        <v>341</v>
      </c>
      <c r="C30" s="75" t="str">
        <f t="shared" si="0"/>
        <v>Kirchengemeinde Weinheim</v>
      </c>
      <c r="D30" s="74" t="str">
        <f t="shared" si="1"/>
        <v>0233</v>
      </c>
      <c r="E30" s="74" t="str">
        <f t="shared" si="2"/>
        <v>900030233</v>
      </c>
      <c r="F30" s="155">
        <v>900030298</v>
      </c>
      <c r="G30" s="161" t="s">
        <v>314</v>
      </c>
    </row>
    <row r="31" spans="1:7">
      <c r="A31" s="213">
        <v>234</v>
      </c>
      <c r="B31" s="161" t="s">
        <v>342</v>
      </c>
      <c r="C31" s="75" t="str">
        <f t="shared" si="0"/>
        <v>Kirchengemeinde Erbes-Büdesheim</v>
      </c>
      <c r="D31" s="74" t="str">
        <f t="shared" si="1"/>
        <v>0234</v>
      </c>
      <c r="E31" s="74" t="str">
        <f t="shared" si="2"/>
        <v>900030234</v>
      </c>
      <c r="F31" s="155">
        <v>900030298</v>
      </c>
      <c r="G31" s="161" t="s">
        <v>314</v>
      </c>
    </row>
    <row r="32" spans="1:7">
      <c r="A32" s="213">
        <v>235</v>
      </c>
      <c r="B32" s="161" t="s">
        <v>343</v>
      </c>
      <c r="C32" s="75" t="str">
        <f t="shared" si="0"/>
        <v>Kirchengemeinde Nack</v>
      </c>
      <c r="D32" s="74" t="str">
        <f t="shared" si="1"/>
        <v>0235</v>
      </c>
      <c r="E32" s="74" t="str">
        <f t="shared" si="2"/>
        <v>900030235</v>
      </c>
      <c r="F32" s="155">
        <v>900030298</v>
      </c>
      <c r="G32" s="161" t="s">
        <v>314</v>
      </c>
    </row>
    <row r="33" spans="1:7">
      <c r="A33" s="213">
        <v>236</v>
      </c>
      <c r="B33" s="161" t="s">
        <v>344</v>
      </c>
      <c r="C33" s="75" t="str">
        <f t="shared" si="0"/>
        <v>Kirchengemeinde Schornsheim</v>
      </c>
      <c r="D33" s="74" t="str">
        <f t="shared" si="1"/>
        <v>0236</v>
      </c>
      <c r="E33" s="74" t="str">
        <f t="shared" si="2"/>
        <v>900030236</v>
      </c>
      <c r="F33" s="155">
        <v>900030298</v>
      </c>
      <c r="G33" s="161" t="s">
        <v>314</v>
      </c>
    </row>
    <row r="34" spans="1:7">
      <c r="A34" s="213">
        <v>237</v>
      </c>
      <c r="B34" s="161" t="s">
        <v>345</v>
      </c>
      <c r="C34" s="75" t="str">
        <f t="shared" si="0"/>
        <v>Kirchengemeinde Udenheim</v>
      </c>
      <c r="D34" s="74" t="str">
        <f t="shared" si="1"/>
        <v>0237</v>
      </c>
      <c r="E34" s="74" t="str">
        <f t="shared" si="2"/>
        <v>900030237</v>
      </c>
      <c r="F34" s="155">
        <v>900030298</v>
      </c>
      <c r="G34" s="161" t="s">
        <v>314</v>
      </c>
    </row>
    <row r="35" spans="1:7">
      <c r="A35" s="213">
        <v>298</v>
      </c>
      <c r="B35" s="162" t="s">
        <v>346</v>
      </c>
      <c r="C35" s="75" t="str">
        <f t="shared" si="0"/>
        <v>Dekanat Alzey-Wöllstein</v>
      </c>
      <c r="D35" s="74" t="str">
        <f t="shared" si="1"/>
        <v>0298</v>
      </c>
      <c r="E35" s="74" t="str">
        <f t="shared" si="2"/>
        <v>900030298</v>
      </c>
      <c r="F35" s="155">
        <v>900030298</v>
      </c>
      <c r="G35" s="161" t="s">
        <v>314</v>
      </c>
    </row>
    <row r="36" spans="1:7">
      <c r="A36" s="213">
        <v>1098</v>
      </c>
      <c r="B36" s="162" t="s">
        <v>347</v>
      </c>
      <c r="C36" s="75" t="str">
        <f t="shared" si="0"/>
        <v>Dekanat Ingelheim und Oppenheim</v>
      </c>
      <c r="D36" s="74" t="str">
        <f t="shared" si="1"/>
        <v>1098</v>
      </c>
      <c r="E36" s="74" t="str">
        <f t="shared" si="2"/>
        <v>900031098</v>
      </c>
      <c r="F36" s="74">
        <v>900031098</v>
      </c>
      <c r="G36" s="161" t="s">
        <v>348</v>
      </c>
    </row>
    <row r="37" spans="1:7">
      <c r="A37" s="213">
        <v>3402</v>
      </c>
      <c r="B37" s="161" t="s">
        <v>349</v>
      </c>
      <c r="C37" s="75" t="str">
        <f t="shared" si="0"/>
        <v>Kirchengemeinde Appenheim</v>
      </c>
      <c r="D37" s="74" t="str">
        <f t="shared" si="1"/>
        <v>3402</v>
      </c>
      <c r="E37" s="74" t="str">
        <f t="shared" si="2"/>
        <v>900033402</v>
      </c>
      <c r="F37" s="74">
        <v>900031098</v>
      </c>
      <c r="G37" s="161" t="s">
        <v>348</v>
      </c>
    </row>
    <row r="38" spans="1:7">
      <c r="A38" s="213">
        <v>3403</v>
      </c>
      <c r="B38" s="161" t="s">
        <v>350</v>
      </c>
      <c r="C38" s="75" t="str">
        <f t="shared" si="0"/>
        <v>Kirchengemeinde Bingen, Johanneskirchengemeinde</v>
      </c>
      <c r="D38" s="74" t="str">
        <f t="shared" si="1"/>
        <v>3403</v>
      </c>
      <c r="E38" s="74" t="str">
        <f t="shared" si="2"/>
        <v>900033403</v>
      </c>
      <c r="F38" s="74">
        <v>900031098</v>
      </c>
      <c r="G38" s="161" t="s">
        <v>348</v>
      </c>
    </row>
    <row r="39" spans="1:7">
      <c r="A39" s="213">
        <v>3404</v>
      </c>
      <c r="B39" s="161" t="s">
        <v>351</v>
      </c>
      <c r="C39" s="75" t="str">
        <f t="shared" si="0"/>
        <v>Kirchengemeinde Bingen, Christuskirchengemeinde</v>
      </c>
      <c r="D39" s="74" t="str">
        <f t="shared" si="1"/>
        <v>3404</v>
      </c>
      <c r="E39" s="74" t="str">
        <f t="shared" si="2"/>
        <v>900033404</v>
      </c>
      <c r="F39" s="74">
        <v>900031098</v>
      </c>
      <c r="G39" s="161" t="s">
        <v>348</v>
      </c>
    </row>
    <row r="40" spans="1:7">
      <c r="A40" s="213">
        <v>3405</v>
      </c>
      <c r="B40" s="161" t="s">
        <v>352</v>
      </c>
      <c r="C40" s="75" t="str">
        <f t="shared" si="0"/>
        <v>Kirchengemeinde Bubenheim</v>
      </c>
      <c r="D40" s="74" t="str">
        <f t="shared" si="1"/>
        <v>3405</v>
      </c>
      <c r="E40" s="74" t="str">
        <f t="shared" si="2"/>
        <v>900033405</v>
      </c>
      <c r="F40" s="74">
        <v>900031098</v>
      </c>
      <c r="G40" s="161" t="s">
        <v>348</v>
      </c>
    </row>
    <row r="41" spans="1:7">
      <c r="A41" s="213">
        <v>3406</v>
      </c>
      <c r="B41" s="161" t="s">
        <v>353</v>
      </c>
      <c r="C41" s="75" t="str">
        <f t="shared" si="0"/>
        <v>Kirchengemeinde Essenheim/Mauritiusgem.</v>
      </c>
      <c r="D41" s="74" t="str">
        <f t="shared" si="1"/>
        <v>3406</v>
      </c>
      <c r="E41" s="74" t="str">
        <f t="shared" si="2"/>
        <v>900033406</v>
      </c>
      <c r="F41" s="74">
        <v>900031098</v>
      </c>
      <c r="G41" s="161" t="s">
        <v>348</v>
      </c>
    </row>
    <row r="42" spans="1:7">
      <c r="A42" s="213">
        <v>3407</v>
      </c>
      <c r="B42" s="161" t="s">
        <v>354</v>
      </c>
      <c r="C42" s="75" t="str">
        <f t="shared" si="0"/>
        <v>Kirchengemeinde Engelstadt</v>
      </c>
      <c r="D42" s="74" t="str">
        <f t="shared" si="1"/>
        <v>3407</v>
      </c>
      <c r="E42" s="74" t="str">
        <f t="shared" si="2"/>
        <v>900033407</v>
      </c>
      <c r="F42" s="74">
        <v>900031098</v>
      </c>
      <c r="G42" s="161" t="s">
        <v>348</v>
      </c>
    </row>
    <row r="43" spans="1:7">
      <c r="A43" s="213">
        <v>3408</v>
      </c>
      <c r="B43" s="161" t="s">
        <v>355</v>
      </c>
      <c r="C43" s="75" t="str">
        <f t="shared" si="0"/>
        <v>Kirchengemeinde Gau-Algesheim</v>
      </c>
      <c r="D43" s="74" t="str">
        <f t="shared" si="1"/>
        <v>3408</v>
      </c>
      <c r="E43" s="74" t="str">
        <f t="shared" si="2"/>
        <v>900033408</v>
      </c>
      <c r="F43" s="74">
        <v>900031098</v>
      </c>
      <c r="G43" s="161" t="s">
        <v>348</v>
      </c>
    </row>
    <row r="44" spans="1:7">
      <c r="A44" s="213">
        <v>3409</v>
      </c>
      <c r="B44" s="161" t="s">
        <v>356</v>
      </c>
      <c r="C44" s="75" t="str">
        <f t="shared" si="0"/>
        <v>Kirchengemeinde Gensingen-Grolsheim</v>
      </c>
      <c r="D44" s="74" t="str">
        <f t="shared" si="1"/>
        <v>3409</v>
      </c>
      <c r="E44" s="74" t="str">
        <f t="shared" si="2"/>
        <v>900033409</v>
      </c>
      <c r="F44" s="74">
        <v>900031098</v>
      </c>
      <c r="G44" s="161" t="s">
        <v>348</v>
      </c>
    </row>
    <row r="45" spans="1:7">
      <c r="A45" s="213">
        <v>3411</v>
      </c>
      <c r="B45" s="161" t="s">
        <v>357</v>
      </c>
      <c r="C45" s="75" t="str">
        <f t="shared" si="0"/>
        <v>Kirchengemeinde Groß-Winternheim/ Schwabenheim</v>
      </c>
      <c r="D45" s="74" t="str">
        <f t="shared" si="1"/>
        <v>3411</v>
      </c>
      <c r="E45" s="74" t="str">
        <f t="shared" si="2"/>
        <v>900033411</v>
      </c>
      <c r="F45" s="74">
        <v>900031098</v>
      </c>
      <c r="G45" s="161" t="s">
        <v>348</v>
      </c>
    </row>
    <row r="46" spans="1:7">
      <c r="A46" s="213">
        <v>3412</v>
      </c>
      <c r="B46" s="161" t="s">
        <v>358</v>
      </c>
      <c r="C46" s="75" t="str">
        <f t="shared" si="0"/>
        <v>Kirchengemeinde Heidesheim</v>
      </c>
      <c r="D46" s="74" t="str">
        <f t="shared" si="1"/>
        <v>3412</v>
      </c>
      <c r="E46" s="74" t="str">
        <f t="shared" si="2"/>
        <v>900033412</v>
      </c>
      <c r="F46" s="74">
        <v>900031098</v>
      </c>
      <c r="G46" s="161" t="s">
        <v>348</v>
      </c>
    </row>
    <row r="47" spans="1:7">
      <c r="A47" s="213">
        <v>3413</v>
      </c>
      <c r="B47" s="161" t="s">
        <v>359</v>
      </c>
      <c r="C47" s="75" t="str">
        <f t="shared" si="0"/>
        <v>Kirchengemeinde Horrweiler/ Aspisheim</v>
      </c>
      <c r="D47" s="74" t="str">
        <f t="shared" si="1"/>
        <v>3413</v>
      </c>
      <c r="E47" s="74" t="str">
        <f t="shared" si="2"/>
        <v>900033413</v>
      </c>
      <c r="F47" s="74">
        <v>900031098</v>
      </c>
      <c r="G47" s="161" t="s">
        <v>348</v>
      </c>
    </row>
    <row r="48" spans="1:7">
      <c r="A48" s="213">
        <v>3414</v>
      </c>
      <c r="B48" s="161" t="s">
        <v>360</v>
      </c>
      <c r="C48" s="75" t="str">
        <f t="shared" si="0"/>
        <v>Kirchengemeinde Ingelheim,Burgkirchengemeinde</v>
      </c>
      <c r="D48" s="74" t="str">
        <f t="shared" si="1"/>
        <v>3414</v>
      </c>
      <c r="E48" s="74" t="str">
        <f t="shared" si="2"/>
        <v>900033414</v>
      </c>
      <c r="F48" s="74">
        <v>900031098</v>
      </c>
      <c r="G48" s="161" t="s">
        <v>348</v>
      </c>
    </row>
    <row r="49" spans="1:7">
      <c r="A49" s="213">
        <v>3415</v>
      </c>
      <c r="B49" s="161" t="s">
        <v>361</v>
      </c>
      <c r="C49" s="75" t="str">
        <f t="shared" si="0"/>
        <v>Kirchengemeinde Ingelheim, Saalkirchengemeinde</v>
      </c>
      <c r="D49" s="74" t="str">
        <f t="shared" si="1"/>
        <v>3415</v>
      </c>
      <c r="E49" s="74" t="str">
        <f t="shared" si="2"/>
        <v>900033415</v>
      </c>
      <c r="F49" s="74">
        <v>900031098</v>
      </c>
      <c r="G49" s="161" t="s">
        <v>348</v>
      </c>
    </row>
    <row r="50" spans="1:7">
      <c r="A50" s="213">
        <v>3416</v>
      </c>
      <c r="B50" s="161" t="s">
        <v>362</v>
      </c>
      <c r="C50" s="75" t="str">
        <f t="shared" si="0"/>
        <v>Kirchengemeinde Ingelheim, Versöhnungsgemeinde</v>
      </c>
      <c r="D50" s="74" t="str">
        <f t="shared" si="1"/>
        <v>3416</v>
      </c>
      <c r="E50" s="74" t="str">
        <f t="shared" si="2"/>
        <v>900033416</v>
      </c>
      <c r="F50" s="74">
        <v>900031098</v>
      </c>
      <c r="G50" s="161" t="s">
        <v>348</v>
      </c>
    </row>
    <row r="51" spans="1:7">
      <c r="A51" s="213">
        <v>3417</v>
      </c>
      <c r="B51" s="161" t="s">
        <v>363</v>
      </c>
      <c r="C51" s="75" t="str">
        <f t="shared" si="0"/>
        <v>Kirchengemeinde Jugenheim</v>
      </c>
      <c r="D51" s="74" t="str">
        <f t="shared" si="1"/>
        <v>3417</v>
      </c>
      <c r="E51" s="74" t="str">
        <f t="shared" si="2"/>
        <v>900033417</v>
      </c>
      <c r="F51" s="74">
        <v>900031098</v>
      </c>
      <c r="G51" s="161" t="s">
        <v>348</v>
      </c>
    </row>
    <row r="52" spans="1:7">
      <c r="A52" s="213">
        <v>3418</v>
      </c>
      <c r="B52" s="161" t="s">
        <v>364</v>
      </c>
      <c r="C52" s="75" t="str">
        <f t="shared" si="0"/>
        <v>Kirchengemeinde Nieder-Hilbersheim</v>
      </c>
      <c r="D52" s="74" t="str">
        <f t="shared" si="1"/>
        <v>3418</v>
      </c>
      <c r="E52" s="74" t="str">
        <f t="shared" si="2"/>
        <v>900033418</v>
      </c>
      <c r="F52" s="74">
        <v>900031098</v>
      </c>
      <c r="G52" s="161" t="s">
        <v>348</v>
      </c>
    </row>
    <row r="53" spans="1:7">
      <c r="A53" s="213">
        <v>3419</v>
      </c>
      <c r="B53" s="161" t="s">
        <v>365</v>
      </c>
      <c r="C53" s="75" t="str">
        <f t="shared" si="0"/>
        <v>Kirchengemeinde Partenheim</v>
      </c>
      <c r="D53" s="74" t="str">
        <f t="shared" si="1"/>
        <v>3419</v>
      </c>
      <c r="E53" s="74" t="str">
        <f t="shared" si="2"/>
        <v>900033419</v>
      </c>
      <c r="F53" s="155">
        <v>900030298</v>
      </c>
      <c r="G53" s="161" t="s">
        <v>314</v>
      </c>
    </row>
    <row r="54" spans="1:7">
      <c r="A54" s="213">
        <v>3421</v>
      </c>
      <c r="B54" s="161" t="s">
        <v>366</v>
      </c>
      <c r="C54" s="75" t="str">
        <f t="shared" si="0"/>
        <v>Kirchengemeinde Stadecken-Elsheim</v>
      </c>
      <c r="D54" s="74" t="str">
        <f t="shared" si="1"/>
        <v>3421</v>
      </c>
      <c r="E54" s="74" t="str">
        <f t="shared" si="2"/>
        <v>900033421</v>
      </c>
      <c r="F54" s="74">
        <v>900031098</v>
      </c>
      <c r="G54" s="161" t="s">
        <v>348</v>
      </c>
    </row>
    <row r="55" spans="1:7">
      <c r="A55" s="213">
        <v>3422</v>
      </c>
      <c r="B55" s="161" t="s">
        <v>367</v>
      </c>
      <c r="C55" s="75" t="str">
        <f t="shared" si="0"/>
        <v>Kirchengemeinde Vendersheim</v>
      </c>
      <c r="D55" s="74" t="str">
        <f t="shared" si="1"/>
        <v>3422</v>
      </c>
      <c r="E55" s="74" t="str">
        <f t="shared" si="2"/>
        <v>900033422</v>
      </c>
      <c r="F55" s="155">
        <v>900030298</v>
      </c>
      <c r="G55" s="161" t="s">
        <v>314</v>
      </c>
    </row>
    <row r="56" spans="1:7">
      <c r="A56" s="213">
        <v>3423</v>
      </c>
      <c r="B56" s="161" t="s">
        <v>368</v>
      </c>
      <c r="C56" s="75" t="str">
        <f t="shared" si="0"/>
        <v>Kirchengemeinde Wackernheim</v>
      </c>
      <c r="D56" s="74" t="str">
        <f t="shared" si="1"/>
        <v>3423</v>
      </c>
      <c r="E56" s="74" t="str">
        <f t="shared" si="2"/>
        <v>900033423</v>
      </c>
      <c r="F56" s="74">
        <v>900031098</v>
      </c>
      <c r="G56" s="161" t="s">
        <v>348</v>
      </c>
    </row>
    <row r="57" spans="1:7">
      <c r="A57" s="213">
        <v>3424</v>
      </c>
      <c r="B57" s="161" t="s">
        <v>369</v>
      </c>
      <c r="C57" s="75" t="str">
        <f t="shared" si="0"/>
        <v>Kirchengemeinde Ingelheim, Gustav-Adolf-Kircheng.</v>
      </c>
      <c r="D57" s="74" t="str">
        <f t="shared" si="1"/>
        <v>3424</v>
      </c>
      <c r="E57" s="74" t="str">
        <f t="shared" si="2"/>
        <v>900033424</v>
      </c>
      <c r="F57" s="74">
        <v>900031098</v>
      </c>
      <c r="G57" s="161" t="s">
        <v>348</v>
      </c>
    </row>
    <row r="58" spans="1:7">
      <c r="A58" s="213">
        <v>3425</v>
      </c>
      <c r="B58" s="161" t="s">
        <v>370</v>
      </c>
      <c r="C58" s="75" t="str">
        <f t="shared" si="0"/>
        <v>Kirchengemeinde Ober-Hilbersheim</v>
      </c>
      <c r="D58" s="74" t="str">
        <f t="shared" si="1"/>
        <v>3425</v>
      </c>
      <c r="E58" s="74" t="str">
        <f t="shared" si="2"/>
        <v>900033425</v>
      </c>
      <c r="F58" s="74">
        <v>900031098</v>
      </c>
      <c r="G58" s="161" t="s">
        <v>348</v>
      </c>
    </row>
    <row r="59" spans="1:7">
      <c r="A59" s="213">
        <v>3427</v>
      </c>
      <c r="B59" s="161" t="s">
        <v>371</v>
      </c>
      <c r="C59" s="75" t="str">
        <f t="shared" si="0"/>
        <v>Kirchengemeinde Nieder-Olm</v>
      </c>
      <c r="D59" s="74" t="str">
        <f t="shared" si="1"/>
        <v>3427</v>
      </c>
      <c r="E59" s="74" t="str">
        <f t="shared" si="2"/>
        <v>900033427</v>
      </c>
      <c r="F59" s="74">
        <v>900031098</v>
      </c>
      <c r="G59" s="161" t="s">
        <v>348</v>
      </c>
    </row>
    <row r="60" spans="1:7">
      <c r="A60" s="213">
        <v>3802</v>
      </c>
      <c r="B60" s="161" t="s">
        <v>372</v>
      </c>
      <c r="C60" s="75" t="str">
        <f t="shared" si="0"/>
        <v xml:space="preserve">Kirchengemeinde Budenheim </v>
      </c>
      <c r="D60" s="74" t="str">
        <f t="shared" si="1"/>
        <v>3802</v>
      </c>
      <c r="E60" s="74" t="str">
        <f t="shared" si="2"/>
        <v>900033802</v>
      </c>
      <c r="F60" s="74">
        <v>900033898</v>
      </c>
      <c r="G60" s="164" t="s">
        <v>373</v>
      </c>
    </row>
    <row r="61" spans="1:7">
      <c r="A61" s="213">
        <v>3804</v>
      </c>
      <c r="B61" s="161" t="s">
        <v>543</v>
      </c>
      <c r="C61" s="75" t="str">
        <f t="shared" si="0"/>
        <v>Kirchengemeinde Mainz-Finthen</v>
      </c>
      <c r="D61" s="74" t="str">
        <f t="shared" si="1"/>
        <v>3804</v>
      </c>
      <c r="E61" s="74" t="str">
        <f t="shared" si="2"/>
        <v>900033804</v>
      </c>
      <c r="F61" s="74">
        <v>900033898</v>
      </c>
      <c r="G61" s="164" t="s">
        <v>373</v>
      </c>
    </row>
    <row r="62" spans="1:7">
      <c r="A62" s="213">
        <v>3805</v>
      </c>
      <c r="B62" s="161" t="s">
        <v>544</v>
      </c>
      <c r="C62" s="75" t="str">
        <f t="shared" si="0"/>
        <v>Kirchengemeinde Mainz-Hechtsheim</v>
      </c>
      <c r="D62" s="74" t="str">
        <f t="shared" si="1"/>
        <v>3805</v>
      </c>
      <c r="E62" s="74" t="str">
        <f t="shared" si="2"/>
        <v>900033805</v>
      </c>
      <c r="F62" s="74">
        <v>900033898</v>
      </c>
      <c r="G62" s="164" t="s">
        <v>373</v>
      </c>
    </row>
    <row r="63" spans="1:7">
      <c r="A63" s="213">
        <v>3806</v>
      </c>
      <c r="B63" s="161" t="s">
        <v>545</v>
      </c>
      <c r="C63" s="75" t="str">
        <f t="shared" si="0"/>
        <v>Kirchengemeinde Mainz-Laubenheim</v>
      </c>
      <c r="D63" s="74" t="str">
        <f t="shared" si="1"/>
        <v>3806</v>
      </c>
      <c r="E63" s="74" t="str">
        <f t="shared" si="2"/>
        <v>900033806</v>
      </c>
      <c r="F63" s="74">
        <v>900033898</v>
      </c>
      <c r="G63" s="164" t="s">
        <v>373</v>
      </c>
    </row>
    <row r="64" spans="1:7">
      <c r="A64" s="213">
        <v>3808</v>
      </c>
      <c r="B64" s="161" t="s">
        <v>374</v>
      </c>
      <c r="C64" s="75" t="str">
        <f t="shared" si="0"/>
        <v>Auferstehungsgemeinde Mainz</v>
      </c>
      <c r="D64" s="74" t="str">
        <f t="shared" si="1"/>
        <v>3808</v>
      </c>
      <c r="E64" s="74" t="str">
        <f t="shared" si="2"/>
        <v>900033808</v>
      </c>
      <c r="F64" s="74">
        <v>900033898</v>
      </c>
      <c r="G64" s="164" t="s">
        <v>373</v>
      </c>
    </row>
    <row r="65" spans="1:7">
      <c r="A65" s="213">
        <v>3809</v>
      </c>
      <c r="B65" s="161" t="s">
        <v>546</v>
      </c>
      <c r="C65" s="75" t="str">
        <f t="shared" si="0"/>
        <v>Kirchengemeinde Mainz Philippusgemeinde Bretzenh.</v>
      </c>
      <c r="D65" s="74" t="str">
        <f t="shared" si="1"/>
        <v>3809</v>
      </c>
      <c r="E65" s="74" t="str">
        <f t="shared" si="2"/>
        <v>900033809</v>
      </c>
      <c r="F65" s="74">
        <v>900033898</v>
      </c>
      <c r="G65" s="164" t="s">
        <v>373</v>
      </c>
    </row>
    <row r="66" spans="1:7">
      <c r="A66" s="213">
        <v>3810</v>
      </c>
      <c r="B66" s="161" t="s">
        <v>375</v>
      </c>
      <c r="C66" s="75" t="str">
        <f t="shared" ref="C66:C74" si="3">MID(B66,5,100)</f>
        <v>Kirchengemeinde Mainz-Innenstadt</v>
      </c>
      <c r="D66" s="74" t="str">
        <f t="shared" ref="D66:D129" si="4">IF(LEN($A66)&lt;=4,LEFT(TEXT($A66,"0000"),4),LEFT(TEXT($A66,"000000"),4))</f>
        <v>3810</v>
      </c>
      <c r="E66" s="74" t="str">
        <f t="shared" ref="E66:E129" si="5">$M$1&amp;$D66</f>
        <v>900033810</v>
      </c>
      <c r="F66" s="74">
        <v>900033898</v>
      </c>
      <c r="G66" s="164" t="s">
        <v>373</v>
      </c>
    </row>
    <row r="67" spans="1:7">
      <c r="A67" s="213">
        <v>3811</v>
      </c>
      <c r="B67" s="161" t="s">
        <v>547</v>
      </c>
      <c r="C67" s="75" t="str">
        <f t="shared" si="3"/>
        <v>Kirchengemeinde Mainz-Marienborn</v>
      </c>
      <c r="D67" s="74" t="str">
        <f t="shared" si="4"/>
        <v>3811</v>
      </c>
      <c r="E67" s="74" t="str">
        <f t="shared" si="5"/>
        <v>900033811</v>
      </c>
      <c r="F67" s="74">
        <v>900033898</v>
      </c>
      <c r="G67" s="164" t="s">
        <v>373</v>
      </c>
    </row>
    <row r="68" spans="1:7">
      <c r="A68" s="213">
        <v>3812</v>
      </c>
      <c r="B68" s="161" t="s">
        <v>548</v>
      </c>
      <c r="C68" s="75" t="str">
        <f t="shared" si="3"/>
        <v>Kirchengemeinde Mainz-Gonsenheim</v>
      </c>
      <c r="D68" s="74" t="str">
        <f t="shared" si="4"/>
        <v>3812</v>
      </c>
      <c r="E68" s="74" t="str">
        <f t="shared" si="5"/>
        <v>900033812</v>
      </c>
      <c r="F68" s="74">
        <v>900033898</v>
      </c>
      <c r="G68" s="164" t="s">
        <v>373</v>
      </c>
    </row>
    <row r="69" spans="1:7" ht="38.25">
      <c r="A69" s="213">
        <v>3814</v>
      </c>
      <c r="B69" s="215" t="s">
        <v>549</v>
      </c>
      <c r="C69" s="75" t="str">
        <f t="shared" si="3"/>
        <v>Kirchengemeinde Mainz Maria-Magdalenakircheng.
Drais-Lerchenberg</v>
      </c>
      <c r="D69" s="74" t="str">
        <f t="shared" si="4"/>
        <v>3814</v>
      </c>
      <c r="E69" s="74" t="str">
        <f t="shared" si="5"/>
        <v>900033814</v>
      </c>
      <c r="F69" s="74">
        <v>900033898</v>
      </c>
      <c r="G69" s="164" t="s">
        <v>373</v>
      </c>
    </row>
    <row r="70" spans="1:7">
      <c r="A70" s="213">
        <v>3816</v>
      </c>
      <c r="B70" s="161" t="s">
        <v>376</v>
      </c>
      <c r="C70" s="75" t="str">
        <f t="shared" si="3"/>
        <v>Kirchengemeinde in der Oberstadt Mainz</v>
      </c>
      <c r="D70" s="74" t="str">
        <f t="shared" si="4"/>
        <v>3816</v>
      </c>
      <c r="E70" s="74" t="str">
        <f t="shared" si="5"/>
        <v>900033816</v>
      </c>
      <c r="F70" s="74">
        <v>900033898</v>
      </c>
      <c r="G70" s="164" t="s">
        <v>373</v>
      </c>
    </row>
    <row r="71" spans="1:7">
      <c r="A71" s="213">
        <v>3817</v>
      </c>
      <c r="B71" s="161" t="s">
        <v>550</v>
      </c>
      <c r="C71" s="75" t="str">
        <f t="shared" si="3"/>
        <v>Kirchengemeinde Mainz-Mombach</v>
      </c>
      <c r="D71" s="74" t="str">
        <f t="shared" si="4"/>
        <v>3817</v>
      </c>
      <c r="E71" s="74" t="str">
        <f t="shared" si="5"/>
        <v>900033817</v>
      </c>
      <c r="F71" s="74">
        <v>900033898</v>
      </c>
      <c r="G71" s="164" t="s">
        <v>373</v>
      </c>
    </row>
    <row r="72" spans="1:7">
      <c r="A72" s="213">
        <v>3820</v>
      </c>
      <c r="B72" s="161" t="s">
        <v>551</v>
      </c>
      <c r="C72" s="75" t="str">
        <f t="shared" si="3"/>
        <v>Kirchengemeinde Mainz-Weisenau</v>
      </c>
      <c r="D72" s="74" t="str">
        <f t="shared" si="4"/>
        <v>3820</v>
      </c>
      <c r="E72" s="74" t="str">
        <f t="shared" si="5"/>
        <v>900033820</v>
      </c>
      <c r="F72" s="74">
        <v>900033898</v>
      </c>
      <c r="G72" s="164" t="s">
        <v>373</v>
      </c>
    </row>
    <row r="73" spans="1:7">
      <c r="A73" s="213">
        <v>3822</v>
      </c>
      <c r="B73" s="161" t="s">
        <v>377</v>
      </c>
      <c r="C73" s="75" t="str">
        <f t="shared" si="3"/>
        <v>Kirchengemeinde Ober-Olm, Klein-Winternheim</v>
      </c>
      <c r="D73" s="74" t="str">
        <f t="shared" si="4"/>
        <v>3822</v>
      </c>
      <c r="E73" s="74" t="str">
        <f t="shared" si="5"/>
        <v>900033822</v>
      </c>
      <c r="F73" s="74">
        <v>900033898</v>
      </c>
      <c r="G73" s="164" t="s">
        <v>373</v>
      </c>
    </row>
    <row r="74" spans="1:7">
      <c r="A74" s="213">
        <v>3824</v>
      </c>
      <c r="B74" s="161" t="s">
        <v>378</v>
      </c>
      <c r="C74" s="75" t="str">
        <f t="shared" si="3"/>
        <v>Weinberg-Gemeinde Ebersheim und Zornheim</v>
      </c>
      <c r="D74" s="74" t="str">
        <f t="shared" si="4"/>
        <v>3824</v>
      </c>
      <c r="E74" s="74" t="str">
        <f t="shared" si="5"/>
        <v>900033824</v>
      </c>
      <c r="F74" s="74">
        <v>900033898</v>
      </c>
      <c r="G74" s="164" t="s">
        <v>373</v>
      </c>
    </row>
    <row r="75" spans="1:7">
      <c r="A75" s="213">
        <v>3871</v>
      </c>
      <c r="B75" s="161" t="s">
        <v>379</v>
      </c>
      <c r="C75" s="75" t="str">
        <f>B75</f>
        <v>AG Jugen in Rheinhessen</v>
      </c>
      <c r="D75" s="74" t="str">
        <f t="shared" si="4"/>
        <v>3871</v>
      </c>
      <c r="E75" s="74" t="str">
        <f t="shared" si="5"/>
        <v>900033871</v>
      </c>
      <c r="F75" s="74">
        <v>900033898</v>
      </c>
      <c r="G75" s="164" t="s">
        <v>373</v>
      </c>
    </row>
    <row r="76" spans="1:7">
      <c r="A76" s="213">
        <v>3898</v>
      </c>
      <c r="B76" s="162" t="s">
        <v>380</v>
      </c>
      <c r="C76" s="75" t="str">
        <f t="shared" ref="C76:C139" si="6">MID(B76,5,100)</f>
        <v>Dekanat Mainz</v>
      </c>
      <c r="D76" s="74" t="str">
        <f t="shared" si="4"/>
        <v>3898</v>
      </c>
      <c r="E76" s="74" t="str">
        <f t="shared" si="5"/>
        <v>900033898</v>
      </c>
      <c r="F76" s="74">
        <v>900033898</v>
      </c>
      <c r="G76" s="164" t="s">
        <v>373</v>
      </c>
    </row>
    <row r="77" spans="1:7">
      <c r="A77" s="213">
        <v>4302</v>
      </c>
      <c r="B77" s="161" t="s">
        <v>381</v>
      </c>
      <c r="C77" s="75" t="str">
        <f t="shared" si="6"/>
        <v>Kirchengemeinde Bodenheim-Nackenheim</v>
      </c>
      <c r="D77" s="74" t="str">
        <f t="shared" si="4"/>
        <v>4302</v>
      </c>
      <c r="E77" s="74" t="str">
        <f t="shared" si="5"/>
        <v>900034302</v>
      </c>
      <c r="F77" s="74">
        <v>900031098</v>
      </c>
      <c r="G77" s="164" t="s">
        <v>348</v>
      </c>
    </row>
    <row r="78" spans="1:7">
      <c r="A78" s="213">
        <v>4303</v>
      </c>
      <c r="B78" s="161" t="s">
        <v>382</v>
      </c>
      <c r="C78" s="75" t="str">
        <f t="shared" si="6"/>
        <v>Kirchengemeinde Dalheim</v>
      </c>
      <c r="D78" s="74" t="str">
        <f t="shared" si="4"/>
        <v>4303</v>
      </c>
      <c r="E78" s="74" t="str">
        <f t="shared" si="5"/>
        <v>900034303</v>
      </c>
      <c r="F78" s="74">
        <v>900031098</v>
      </c>
      <c r="G78" s="164" t="s">
        <v>348</v>
      </c>
    </row>
    <row r="79" spans="1:7">
      <c r="A79" s="213">
        <v>4304</v>
      </c>
      <c r="B79" s="161" t="s">
        <v>383</v>
      </c>
      <c r="C79" s="75" t="str">
        <f t="shared" si="6"/>
        <v>Kirchengemeinde Dexheim</v>
      </c>
      <c r="D79" s="74" t="str">
        <f t="shared" si="4"/>
        <v>4304</v>
      </c>
      <c r="E79" s="74" t="str">
        <f t="shared" si="5"/>
        <v>900034304</v>
      </c>
      <c r="F79" s="74">
        <v>900031098</v>
      </c>
      <c r="G79" s="164" t="s">
        <v>348</v>
      </c>
    </row>
    <row r="80" spans="1:7">
      <c r="A80" s="213">
        <v>4305</v>
      </c>
      <c r="B80" s="161" t="s">
        <v>384</v>
      </c>
      <c r="C80" s="75" t="str">
        <f t="shared" si="6"/>
        <v>Kirchengemeinde Dienheim</v>
      </c>
      <c r="D80" s="74" t="str">
        <f t="shared" si="4"/>
        <v>4305</v>
      </c>
      <c r="E80" s="74" t="str">
        <f t="shared" si="5"/>
        <v>900034305</v>
      </c>
      <c r="F80" s="74">
        <v>900031098</v>
      </c>
      <c r="G80" s="164" t="s">
        <v>348</v>
      </c>
    </row>
    <row r="81" spans="1:7">
      <c r="A81" s="213">
        <v>4306</v>
      </c>
      <c r="B81" s="161" t="s">
        <v>385</v>
      </c>
      <c r="C81" s="75" t="str">
        <f t="shared" si="6"/>
        <v>Kirchengemeinde Dolgesheim</v>
      </c>
      <c r="D81" s="74" t="str">
        <f t="shared" si="4"/>
        <v>4306</v>
      </c>
      <c r="E81" s="74" t="str">
        <f t="shared" si="5"/>
        <v>900034306</v>
      </c>
      <c r="F81" s="74">
        <v>900031098</v>
      </c>
      <c r="G81" s="164" t="s">
        <v>348</v>
      </c>
    </row>
    <row r="82" spans="1:7">
      <c r="A82" s="213">
        <v>4307</v>
      </c>
      <c r="B82" s="161" t="s">
        <v>386</v>
      </c>
      <c r="C82" s="75" t="str">
        <f t="shared" si="6"/>
        <v>Kirchengemeinde Eimsheim</v>
      </c>
      <c r="D82" s="74" t="str">
        <f t="shared" si="4"/>
        <v>4307</v>
      </c>
      <c r="E82" s="74" t="str">
        <f t="shared" si="5"/>
        <v>900034307</v>
      </c>
      <c r="F82" s="74">
        <v>900031098</v>
      </c>
      <c r="G82" s="164" t="s">
        <v>348</v>
      </c>
    </row>
    <row r="83" spans="1:7">
      <c r="A83" s="213">
        <v>4309</v>
      </c>
      <c r="B83" s="161" t="s">
        <v>387</v>
      </c>
      <c r="C83" s="75" t="str">
        <f t="shared" si="6"/>
        <v>Kirchengemeinde Guntersblum</v>
      </c>
      <c r="D83" s="74" t="str">
        <f t="shared" si="4"/>
        <v>4309</v>
      </c>
      <c r="E83" s="74" t="str">
        <f t="shared" si="5"/>
        <v>900034309</v>
      </c>
      <c r="F83" s="74">
        <v>900031098</v>
      </c>
      <c r="G83" s="164" t="s">
        <v>348</v>
      </c>
    </row>
    <row r="84" spans="1:7">
      <c r="A84" s="213">
        <v>4310</v>
      </c>
      <c r="B84" s="161" t="s">
        <v>388</v>
      </c>
      <c r="C84" s="75" t="str">
        <f t="shared" si="6"/>
        <v>Kirchengemeinde Harxheim</v>
      </c>
      <c r="D84" s="74" t="str">
        <f t="shared" si="4"/>
        <v>4310</v>
      </c>
      <c r="E84" s="74" t="str">
        <f t="shared" si="5"/>
        <v>900034310</v>
      </c>
      <c r="F84" s="74">
        <v>900031098</v>
      </c>
      <c r="G84" s="164" t="s">
        <v>348</v>
      </c>
    </row>
    <row r="85" spans="1:7">
      <c r="A85" s="213">
        <v>4311</v>
      </c>
      <c r="B85" s="161" t="s">
        <v>389</v>
      </c>
      <c r="C85" s="75" t="str">
        <f t="shared" si="6"/>
        <v>Kirchengemeinde Mommenheim-Lörzweiler</v>
      </c>
      <c r="D85" s="74" t="str">
        <f t="shared" si="4"/>
        <v>4311</v>
      </c>
      <c r="E85" s="74" t="str">
        <f t="shared" si="5"/>
        <v>900034311</v>
      </c>
      <c r="F85" s="74">
        <v>900031098</v>
      </c>
      <c r="G85" s="164" t="s">
        <v>348</v>
      </c>
    </row>
    <row r="86" spans="1:7">
      <c r="A86" s="213">
        <v>4312</v>
      </c>
      <c r="B86" s="161" t="s">
        <v>390</v>
      </c>
      <c r="C86" s="75" t="str">
        <f t="shared" si="6"/>
        <v>Kirchengemeinde Nieder-Saulheim</v>
      </c>
      <c r="D86" s="74" t="str">
        <f t="shared" si="4"/>
        <v>4312</v>
      </c>
      <c r="E86" s="74" t="str">
        <f t="shared" si="5"/>
        <v>900034312</v>
      </c>
      <c r="F86" s="155">
        <v>900030298</v>
      </c>
      <c r="G86" s="161" t="s">
        <v>314</v>
      </c>
    </row>
    <row r="87" spans="1:7">
      <c r="A87" s="213">
        <v>4313</v>
      </c>
      <c r="B87" s="161" t="s">
        <v>391</v>
      </c>
      <c r="C87" s="75" t="str">
        <f t="shared" si="6"/>
        <v>Kirchengemeinde Nierstein</v>
      </c>
      <c r="D87" s="74" t="str">
        <f t="shared" si="4"/>
        <v>4313</v>
      </c>
      <c r="E87" s="74" t="str">
        <f t="shared" si="5"/>
        <v>900034313</v>
      </c>
      <c r="F87" s="74">
        <v>900031098</v>
      </c>
      <c r="G87" s="164" t="s">
        <v>348</v>
      </c>
    </row>
    <row r="88" spans="1:7">
      <c r="A88" s="213">
        <v>4314</v>
      </c>
      <c r="B88" s="161" t="s">
        <v>392</v>
      </c>
      <c r="C88" s="75" t="str">
        <f t="shared" si="6"/>
        <v>Kirchengemeinde Ober-Saulheim</v>
      </c>
      <c r="D88" s="74" t="str">
        <f t="shared" si="4"/>
        <v>4314</v>
      </c>
      <c r="E88" s="74" t="str">
        <f t="shared" si="5"/>
        <v>900034314</v>
      </c>
      <c r="F88" s="155">
        <v>900030298</v>
      </c>
      <c r="G88" s="161" t="s">
        <v>314</v>
      </c>
    </row>
    <row r="89" spans="1:7">
      <c r="A89" s="213">
        <v>4315</v>
      </c>
      <c r="B89" s="161" t="s">
        <v>393</v>
      </c>
      <c r="C89" s="75" t="str">
        <f t="shared" si="6"/>
        <v>Kirchengemeinde Oppenheim</v>
      </c>
      <c r="D89" s="74" t="str">
        <f t="shared" si="4"/>
        <v>4315</v>
      </c>
      <c r="E89" s="74" t="str">
        <f t="shared" si="5"/>
        <v>900034315</v>
      </c>
      <c r="F89" s="74">
        <v>900031098</v>
      </c>
      <c r="G89" s="164" t="s">
        <v>348</v>
      </c>
    </row>
    <row r="90" spans="1:7">
      <c r="A90" s="213">
        <v>4317</v>
      </c>
      <c r="B90" s="161" t="s">
        <v>394</v>
      </c>
      <c r="C90" s="75" t="str">
        <f t="shared" si="6"/>
        <v>Kirchengemeinde Schwabsburg</v>
      </c>
      <c r="D90" s="74" t="str">
        <f t="shared" si="4"/>
        <v>4317</v>
      </c>
      <c r="E90" s="74" t="str">
        <f t="shared" si="5"/>
        <v>900034317</v>
      </c>
      <c r="F90" s="74">
        <v>900031098</v>
      </c>
      <c r="G90" s="164" t="s">
        <v>348</v>
      </c>
    </row>
    <row r="91" spans="1:7">
      <c r="A91" s="213">
        <v>4318</v>
      </c>
      <c r="B91" s="161" t="s">
        <v>395</v>
      </c>
      <c r="C91" s="75" t="str">
        <f t="shared" si="6"/>
        <v>Kirchengemeinde Selzen</v>
      </c>
      <c r="D91" s="74" t="str">
        <f t="shared" si="4"/>
        <v>4318</v>
      </c>
      <c r="E91" s="74" t="str">
        <f t="shared" si="5"/>
        <v>900034318</v>
      </c>
      <c r="F91" s="74">
        <v>900031098</v>
      </c>
      <c r="G91" s="164" t="s">
        <v>348</v>
      </c>
    </row>
    <row r="92" spans="1:7">
      <c r="A92" s="213">
        <v>4320</v>
      </c>
      <c r="B92" s="161" t="s">
        <v>396</v>
      </c>
      <c r="C92" s="75" t="str">
        <f t="shared" si="6"/>
        <v>Kirchengemeinde Uelversheim</v>
      </c>
      <c r="D92" s="74" t="str">
        <f t="shared" si="4"/>
        <v>4320</v>
      </c>
      <c r="E92" s="74" t="str">
        <f t="shared" si="5"/>
        <v>900034320</v>
      </c>
      <c r="F92" s="74">
        <v>900031098</v>
      </c>
      <c r="G92" s="164" t="s">
        <v>348</v>
      </c>
    </row>
    <row r="93" spans="1:7">
      <c r="A93" s="213">
        <v>4321</v>
      </c>
      <c r="B93" s="162" t="s">
        <v>397</v>
      </c>
      <c r="C93" s="75" t="str">
        <f t="shared" si="6"/>
        <v>Kirchengemeinde Undenheim-Friesenheim</v>
      </c>
      <c r="D93" s="74" t="str">
        <f t="shared" si="4"/>
        <v>4321</v>
      </c>
      <c r="E93" s="74" t="str">
        <f t="shared" si="5"/>
        <v>900034321</v>
      </c>
      <c r="F93" s="74">
        <v>900031098</v>
      </c>
      <c r="G93" s="164" t="s">
        <v>348</v>
      </c>
    </row>
    <row r="94" spans="1:7">
      <c r="A94" s="213">
        <v>4322</v>
      </c>
      <c r="B94" s="161" t="s">
        <v>398</v>
      </c>
      <c r="C94" s="75" t="str">
        <f t="shared" si="6"/>
        <v>Kirchengemeinde Weinolsheim</v>
      </c>
      <c r="D94" s="74" t="str">
        <f t="shared" si="4"/>
        <v>4322</v>
      </c>
      <c r="E94" s="74" t="str">
        <f t="shared" si="5"/>
        <v>900034322</v>
      </c>
      <c r="F94" s="74">
        <v>900031098</v>
      </c>
      <c r="G94" s="164" t="s">
        <v>348</v>
      </c>
    </row>
    <row r="95" spans="1:7">
      <c r="A95" s="213">
        <v>5803</v>
      </c>
      <c r="B95" s="161" t="s">
        <v>399</v>
      </c>
      <c r="C95" s="75" t="str">
        <f t="shared" si="6"/>
        <v>Kirchengemeinde Biebelsheim</v>
      </c>
      <c r="D95" s="74" t="str">
        <f t="shared" si="4"/>
        <v>5803</v>
      </c>
      <c r="E95" s="74" t="str">
        <f t="shared" si="5"/>
        <v>900035803</v>
      </c>
      <c r="F95" s="155">
        <v>900030298</v>
      </c>
      <c r="G95" s="161" t="s">
        <v>314</v>
      </c>
    </row>
    <row r="96" spans="1:7">
      <c r="A96" s="213">
        <v>5804</v>
      </c>
      <c r="B96" s="161" t="s">
        <v>400</v>
      </c>
      <c r="C96" s="75" t="str">
        <f t="shared" si="6"/>
        <v>Kirchengemeinde Bosenheim</v>
      </c>
      <c r="D96" s="74" t="str">
        <f t="shared" si="4"/>
        <v>5804</v>
      </c>
      <c r="E96" s="74" t="str">
        <f t="shared" si="5"/>
        <v>900035804</v>
      </c>
      <c r="F96" s="155">
        <v>900030298</v>
      </c>
      <c r="G96" s="161" t="s">
        <v>314</v>
      </c>
    </row>
    <row r="97" spans="1:7">
      <c r="A97" s="213">
        <v>5805</v>
      </c>
      <c r="B97" s="161" t="s">
        <v>401</v>
      </c>
      <c r="C97" s="75" t="str">
        <f t="shared" si="6"/>
        <v>Kirchengemeinde Eckelsheim</v>
      </c>
      <c r="D97" s="74" t="str">
        <f t="shared" si="4"/>
        <v>5805</v>
      </c>
      <c r="E97" s="74" t="str">
        <f t="shared" si="5"/>
        <v>900035805</v>
      </c>
      <c r="F97" s="155">
        <v>900030298</v>
      </c>
      <c r="G97" s="161" t="s">
        <v>314</v>
      </c>
    </row>
    <row r="98" spans="1:7">
      <c r="A98" s="213">
        <v>5808</v>
      </c>
      <c r="B98" s="161" t="s">
        <v>402</v>
      </c>
      <c r="C98" s="75" t="str">
        <f t="shared" si="6"/>
        <v>Kirchengemeinde Eichelberg</v>
      </c>
      <c r="D98" s="74" t="str">
        <f t="shared" si="4"/>
        <v>5808</v>
      </c>
      <c r="E98" s="74" t="str">
        <f t="shared" si="5"/>
        <v>900035808</v>
      </c>
      <c r="F98" s="155">
        <v>900030298</v>
      </c>
      <c r="G98" s="161" t="s">
        <v>314</v>
      </c>
    </row>
    <row r="99" spans="1:7">
      <c r="A99" s="213">
        <v>5809</v>
      </c>
      <c r="B99" s="161" t="s">
        <v>403</v>
      </c>
      <c r="C99" s="75" t="str">
        <f t="shared" si="6"/>
        <v>Kirchengemeinde Gau-Weinheim</v>
      </c>
      <c r="D99" s="74" t="str">
        <f t="shared" si="4"/>
        <v>5809</v>
      </c>
      <c r="E99" s="74" t="str">
        <f t="shared" si="5"/>
        <v>900035809</v>
      </c>
      <c r="F99" s="155">
        <v>900030298</v>
      </c>
      <c r="G99" s="161" t="s">
        <v>314</v>
      </c>
    </row>
    <row r="100" spans="1:7">
      <c r="A100" s="213">
        <v>5810</v>
      </c>
      <c r="B100" s="161" t="s">
        <v>404</v>
      </c>
      <c r="C100" s="75" t="str">
        <f t="shared" si="6"/>
        <v>Kirchengemeinde Gumbsheim</v>
      </c>
      <c r="D100" s="74" t="str">
        <f t="shared" si="4"/>
        <v>5810</v>
      </c>
      <c r="E100" s="74" t="str">
        <f t="shared" si="5"/>
        <v>900035810</v>
      </c>
      <c r="F100" s="155">
        <v>900030298</v>
      </c>
      <c r="G100" s="161" t="s">
        <v>314</v>
      </c>
    </row>
    <row r="101" spans="1:7">
      <c r="A101" s="213">
        <v>5811</v>
      </c>
      <c r="B101" s="161" t="s">
        <v>405</v>
      </c>
      <c r="C101" s="75" t="str">
        <f t="shared" si="6"/>
        <v>Kirchengemeinde Ippesheim</v>
      </c>
      <c r="D101" s="74" t="str">
        <f t="shared" si="4"/>
        <v>5811</v>
      </c>
      <c r="E101" s="74" t="str">
        <f t="shared" si="5"/>
        <v>900035811</v>
      </c>
      <c r="F101" s="155">
        <v>900030298</v>
      </c>
      <c r="G101" s="161" t="s">
        <v>314</v>
      </c>
    </row>
    <row r="102" spans="1:7">
      <c r="A102" s="213">
        <v>5815</v>
      </c>
      <c r="B102" s="161" t="s">
        <v>406</v>
      </c>
      <c r="C102" s="75" t="str">
        <f t="shared" si="6"/>
        <v>Kirchengemeinde Pfaffen-Schwabenheim</v>
      </c>
      <c r="D102" s="74" t="str">
        <f t="shared" si="4"/>
        <v>5815</v>
      </c>
      <c r="E102" s="74" t="str">
        <f t="shared" si="5"/>
        <v>900035815</v>
      </c>
      <c r="F102" s="155">
        <v>900030298</v>
      </c>
      <c r="G102" s="161" t="s">
        <v>314</v>
      </c>
    </row>
    <row r="103" spans="1:7">
      <c r="A103" s="213">
        <v>5816</v>
      </c>
      <c r="B103" s="161" t="s">
        <v>407</v>
      </c>
      <c r="C103" s="75" t="str">
        <f t="shared" si="6"/>
        <v>Kirchengemeinde Planig</v>
      </c>
      <c r="D103" s="74" t="str">
        <f t="shared" si="4"/>
        <v>5816</v>
      </c>
      <c r="E103" s="74" t="str">
        <f t="shared" si="5"/>
        <v>900035816</v>
      </c>
      <c r="F103" s="155">
        <v>900030298</v>
      </c>
      <c r="G103" s="161" t="s">
        <v>314</v>
      </c>
    </row>
    <row r="104" spans="1:7">
      <c r="A104" s="213">
        <v>5818</v>
      </c>
      <c r="B104" s="161" t="s">
        <v>408</v>
      </c>
      <c r="C104" s="75" t="str">
        <f t="shared" si="6"/>
        <v>Kirchengemeinde Rommersheim</v>
      </c>
      <c r="D104" s="74" t="str">
        <f t="shared" si="4"/>
        <v>5818</v>
      </c>
      <c r="E104" s="74" t="str">
        <f t="shared" si="5"/>
        <v>900035818</v>
      </c>
      <c r="F104" s="155">
        <v>900030298</v>
      </c>
      <c r="G104" s="161" t="s">
        <v>314</v>
      </c>
    </row>
    <row r="105" spans="1:7">
      <c r="A105" s="213">
        <v>5819</v>
      </c>
      <c r="B105" s="161" t="s">
        <v>409</v>
      </c>
      <c r="C105" s="75" t="str">
        <f t="shared" si="6"/>
        <v>Kirchengemeinde Siefersheim</v>
      </c>
      <c r="D105" s="74" t="str">
        <f t="shared" si="4"/>
        <v>5819</v>
      </c>
      <c r="E105" s="74" t="str">
        <f t="shared" si="5"/>
        <v>900035819</v>
      </c>
      <c r="F105" s="155">
        <v>900030298</v>
      </c>
      <c r="G105" s="161" t="s">
        <v>314</v>
      </c>
    </row>
    <row r="106" spans="1:7">
      <c r="A106" s="213">
        <v>5820</v>
      </c>
      <c r="B106" s="161" t="s">
        <v>410</v>
      </c>
      <c r="C106" s="75" t="str">
        <f t="shared" si="6"/>
        <v>Kirchengemeinde Sprendlingen</v>
      </c>
      <c r="D106" s="74" t="str">
        <f t="shared" si="4"/>
        <v>5820</v>
      </c>
      <c r="E106" s="74" t="str">
        <f t="shared" si="5"/>
        <v>900035820</v>
      </c>
      <c r="F106" s="155">
        <v>900030298</v>
      </c>
      <c r="G106" s="161" t="s">
        <v>314</v>
      </c>
    </row>
    <row r="107" spans="1:7">
      <c r="A107" s="213">
        <v>5821</v>
      </c>
      <c r="B107" s="161" t="s">
        <v>411</v>
      </c>
      <c r="C107" s="75" t="str">
        <f t="shared" si="6"/>
        <v>Kirchengemeinde St. Johann/Wolfsheim</v>
      </c>
      <c r="D107" s="74" t="str">
        <f t="shared" si="4"/>
        <v>5821</v>
      </c>
      <c r="E107" s="74" t="str">
        <f t="shared" si="5"/>
        <v>900035821</v>
      </c>
      <c r="F107" s="74">
        <v>900031098</v>
      </c>
      <c r="G107" s="164" t="s">
        <v>348</v>
      </c>
    </row>
    <row r="108" spans="1:7">
      <c r="A108" s="213">
        <v>5822</v>
      </c>
      <c r="B108" s="161" t="s">
        <v>412</v>
      </c>
      <c r="C108" s="75" t="str">
        <f t="shared" si="6"/>
        <v>Kirchengemeinde Stein-Bockenheim</v>
      </c>
      <c r="D108" s="74" t="str">
        <f t="shared" si="4"/>
        <v>5822</v>
      </c>
      <c r="E108" s="74" t="str">
        <f t="shared" si="5"/>
        <v>900035822</v>
      </c>
      <c r="F108" s="155">
        <v>900030298</v>
      </c>
      <c r="G108" s="161" t="s">
        <v>314</v>
      </c>
    </row>
    <row r="109" spans="1:7">
      <c r="A109" s="213">
        <v>5824</v>
      </c>
      <c r="B109" s="161" t="s">
        <v>413</v>
      </c>
      <c r="C109" s="75" t="str">
        <f t="shared" si="6"/>
        <v>Kirchengemeinde Volxheim</v>
      </c>
      <c r="D109" s="74" t="str">
        <f t="shared" si="4"/>
        <v>5824</v>
      </c>
      <c r="E109" s="74" t="str">
        <f t="shared" si="5"/>
        <v>900035824</v>
      </c>
      <c r="F109" s="155">
        <v>900030298</v>
      </c>
      <c r="G109" s="161" t="s">
        <v>314</v>
      </c>
    </row>
    <row r="110" spans="1:7">
      <c r="A110" s="213">
        <v>5825</v>
      </c>
      <c r="B110" s="161" t="s">
        <v>414</v>
      </c>
      <c r="C110" s="75" t="str">
        <f t="shared" si="6"/>
        <v>Kirchengemeinde Wallertheim/ Gau-Bickelheim</v>
      </c>
      <c r="D110" s="74" t="str">
        <f t="shared" si="4"/>
        <v>5825</v>
      </c>
      <c r="E110" s="74" t="str">
        <f t="shared" si="5"/>
        <v>900035825</v>
      </c>
      <c r="F110" s="155">
        <v>900030298</v>
      </c>
      <c r="G110" s="161" t="s">
        <v>314</v>
      </c>
    </row>
    <row r="111" spans="1:7">
      <c r="A111" s="213">
        <v>5827</v>
      </c>
      <c r="B111" s="161" t="s">
        <v>415</v>
      </c>
      <c r="C111" s="75" t="str">
        <f t="shared" si="6"/>
        <v>Kirchengemeinde Wendelsheim</v>
      </c>
      <c r="D111" s="74" t="str">
        <f t="shared" si="4"/>
        <v>5827</v>
      </c>
      <c r="E111" s="74" t="str">
        <f t="shared" si="5"/>
        <v>900035827</v>
      </c>
      <c r="F111" s="155">
        <v>900030298</v>
      </c>
      <c r="G111" s="161" t="s">
        <v>314</v>
      </c>
    </row>
    <row r="112" spans="1:7">
      <c r="A112" s="213">
        <v>5828</v>
      </c>
      <c r="B112" s="161" t="s">
        <v>416</v>
      </c>
      <c r="C112" s="75" t="str">
        <f t="shared" si="6"/>
        <v>Kirchengemeinde Wöllstein</v>
      </c>
      <c r="D112" s="74" t="str">
        <f t="shared" si="4"/>
        <v>5828</v>
      </c>
      <c r="E112" s="74" t="str">
        <f t="shared" si="5"/>
        <v>900035828</v>
      </c>
      <c r="F112" s="155">
        <v>900030298</v>
      </c>
      <c r="G112" s="161" t="s">
        <v>314</v>
      </c>
    </row>
    <row r="113" spans="1:7">
      <c r="A113" s="213">
        <v>5829</v>
      </c>
      <c r="B113" s="161" t="s">
        <v>417</v>
      </c>
      <c r="C113" s="75" t="str">
        <f t="shared" si="6"/>
        <v>Kirchengemeinde Wörrstadt</v>
      </c>
      <c r="D113" s="74" t="str">
        <f t="shared" si="4"/>
        <v>5829</v>
      </c>
      <c r="E113" s="74" t="str">
        <f t="shared" si="5"/>
        <v>900035829</v>
      </c>
      <c r="F113" s="155">
        <v>900030298</v>
      </c>
      <c r="G113" s="161" t="s">
        <v>314</v>
      </c>
    </row>
    <row r="114" spans="1:7">
      <c r="A114" s="213">
        <v>5831</v>
      </c>
      <c r="B114" s="161" t="s">
        <v>418</v>
      </c>
      <c r="C114" s="75" t="str">
        <f t="shared" si="6"/>
        <v>Kirchengemeinde Wonsheim</v>
      </c>
      <c r="D114" s="74" t="str">
        <f t="shared" si="4"/>
        <v>5831</v>
      </c>
      <c r="E114" s="74" t="str">
        <f t="shared" si="5"/>
        <v>900035831</v>
      </c>
      <c r="F114" s="155">
        <v>900030298</v>
      </c>
      <c r="G114" s="161" t="s">
        <v>314</v>
      </c>
    </row>
    <row r="115" spans="1:7">
      <c r="A115" s="213">
        <v>5832</v>
      </c>
      <c r="B115" s="161" t="s">
        <v>419</v>
      </c>
      <c r="C115" s="75" t="str">
        <f t="shared" si="6"/>
        <v>Kirchengemeinde Zotzenheim/ Welgesheim</v>
      </c>
      <c r="D115" s="74" t="str">
        <f t="shared" si="4"/>
        <v>5832</v>
      </c>
      <c r="E115" s="74" t="str">
        <f t="shared" si="5"/>
        <v>900035832</v>
      </c>
      <c r="F115" s="74">
        <v>900031098</v>
      </c>
      <c r="G115" s="164" t="s">
        <v>348</v>
      </c>
    </row>
    <row r="116" spans="1:7">
      <c r="A116" s="213">
        <v>5833</v>
      </c>
      <c r="B116" s="161" t="s">
        <v>420</v>
      </c>
      <c r="C116" s="75" t="str">
        <f t="shared" si="6"/>
        <v>Kirchengemeinde Hackenheim</v>
      </c>
      <c r="D116" s="74" t="str">
        <f t="shared" si="4"/>
        <v>5833</v>
      </c>
      <c r="E116" s="74" t="str">
        <f t="shared" si="5"/>
        <v>900035833</v>
      </c>
      <c r="F116" s="155">
        <v>900030298</v>
      </c>
      <c r="G116" s="161" t="s">
        <v>314</v>
      </c>
    </row>
    <row r="117" spans="1:7">
      <c r="A117" s="213">
        <v>5834</v>
      </c>
      <c r="B117" s="161" t="s">
        <v>421</v>
      </c>
      <c r="C117" s="75" t="str">
        <f t="shared" si="6"/>
        <v>Kirchengemeinde Badenheim/ Pleitersheim</v>
      </c>
      <c r="D117" s="74" t="str">
        <f t="shared" si="4"/>
        <v>5834</v>
      </c>
      <c r="E117" s="74" t="str">
        <f t="shared" si="5"/>
        <v>900035834</v>
      </c>
      <c r="F117" s="155">
        <v>900030298</v>
      </c>
      <c r="G117" s="161" t="s">
        <v>314</v>
      </c>
    </row>
    <row r="118" spans="1:7">
      <c r="A118" s="213">
        <v>6502</v>
      </c>
      <c r="B118" s="161" t="s">
        <v>422</v>
      </c>
      <c r="C118" s="75" t="str">
        <f t="shared" si="6"/>
        <v>Kirchengemeinde Alsheim</v>
      </c>
      <c r="D118" s="74" t="str">
        <f t="shared" si="4"/>
        <v>6502</v>
      </c>
      <c r="E118" s="74" t="str">
        <f t="shared" si="5"/>
        <v>900036502</v>
      </c>
      <c r="F118" s="74">
        <v>900036598</v>
      </c>
      <c r="G118" s="164" t="s">
        <v>423</v>
      </c>
    </row>
    <row r="119" spans="1:7">
      <c r="A119" s="213">
        <v>6503</v>
      </c>
      <c r="B119" s="161" t="s">
        <v>424</v>
      </c>
      <c r="C119" s="75" t="str">
        <f t="shared" si="6"/>
        <v>Kirchengemeinde Bechtheim</v>
      </c>
      <c r="D119" s="74" t="str">
        <f t="shared" si="4"/>
        <v>6503</v>
      </c>
      <c r="E119" s="74" t="str">
        <f t="shared" si="5"/>
        <v>900036503</v>
      </c>
      <c r="F119" s="74">
        <v>900036598</v>
      </c>
      <c r="G119" s="164" t="s">
        <v>423</v>
      </c>
    </row>
    <row r="120" spans="1:7">
      <c r="A120" s="213">
        <v>6505</v>
      </c>
      <c r="B120" s="161" t="s">
        <v>425</v>
      </c>
      <c r="C120" s="75" t="str">
        <f t="shared" si="6"/>
        <v>Kirchengemeinde Bermersheim-Dalsheim</v>
      </c>
      <c r="D120" s="74" t="str">
        <f t="shared" si="4"/>
        <v>6505</v>
      </c>
      <c r="E120" s="74" t="str">
        <f t="shared" si="5"/>
        <v>900036505</v>
      </c>
      <c r="F120" s="74">
        <v>900036598</v>
      </c>
      <c r="G120" s="164" t="s">
        <v>423</v>
      </c>
    </row>
    <row r="121" spans="1:7">
      <c r="A121" s="213">
        <v>6506</v>
      </c>
      <c r="B121" s="161" t="s">
        <v>426</v>
      </c>
      <c r="C121" s="75" t="str">
        <f t="shared" si="6"/>
        <v>Kirchengemeinde Dittelsheim-Heßloch/ Frettenheim</v>
      </c>
      <c r="D121" s="74" t="str">
        <f t="shared" si="4"/>
        <v>6506</v>
      </c>
      <c r="E121" s="74" t="str">
        <f t="shared" si="5"/>
        <v>900036506</v>
      </c>
      <c r="F121" s="74">
        <v>900036598</v>
      </c>
      <c r="G121" s="164" t="s">
        <v>423</v>
      </c>
    </row>
    <row r="122" spans="1:7">
      <c r="A122" s="213">
        <v>6507</v>
      </c>
      <c r="B122" s="161" t="s">
        <v>427</v>
      </c>
      <c r="C122" s="75" t="str">
        <f t="shared" si="6"/>
        <v>Kirchengemeinde Dorn-Dürkheim/ Hillesheim Fr. Manz</v>
      </c>
      <c r="D122" s="74" t="str">
        <f t="shared" si="4"/>
        <v>6507</v>
      </c>
      <c r="E122" s="74" t="str">
        <f t="shared" si="5"/>
        <v>900036507</v>
      </c>
      <c r="F122" s="74">
        <v>900036598</v>
      </c>
      <c r="G122" s="164" t="s">
        <v>423</v>
      </c>
    </row>
    <row r="123" spans="1:7">
      <c r="A123" s="213">
        <v>6508</v>
      </c>
      <c r="B123" s="161" t="s">
        <v>428</v>
      </c>
      <c r="C123" s="75" t="str">
        <f t="shared" si="6"/>
        <v>Kirchengemeinde Eich</v>
      </c>
      <c r="D123" s="74" t="str">
        <f t="shared" si="4"/>
        <v>6508</v>
      </c>
      <c r="E123" s="74" t="str">
        <f t="shared" si="5"/>
        <v>900036508</v>
      </c>
      <c r="F123" s="74">
        <v>900036598</v>
      </c>
      <c r="G123" s="164" t="s">
        <v>423</v>
      </c>
    </row>
    <row r="124" spans="1:7">
      <c r="A124" s="213">
        <v>6509</v>
      </c>
      <c r="B124" s="161" t="s">
        <v>429</v>
      </c>
      <c r="C124" s="75" t="str">
        <f t="shared" si="6"/>
        <v>Kirchengemeinde Gimbsheim</v>
      </c>
      <c r="D124" s="74" t="str">
        <f t="shared" si="4"/>
        <v>6509</v>
      </c>
      <c r="E124" s="74" t="str">
        <f t="shared" si="5"/>
        <v>900036509</v>
      </c>
      <c r="F124" s="74">
        <v>900036598</v>
      </c>
      <c r="G124" s="164" t="s">
        <v>423</v>
      </c>
    </row>
    <row r="125" spans="1:7">
      <c r="A125" s="213">
        <v>6510</v>
      </c>
      <c r="B125" s="161" t="s">
        <v>430</v>
      </c>
      <c r="C125" s="75" t="str">
        <f t="shared" si="6"/>
        <v>Kirchengemeinde Hamm und Ibersheim</v>
      </c>
      <c r="D125" s="74" t="str">
        <f t="shared" si="4"/>
        <v>6510</v>
      </c>
      <c r="E125" s="74" t="str">
        <f t="shared" si="5"/>
        <v>900036510</v>
      </c>
      <c r="F125" s="74">
        <v>900036598</v>
      </c>
      <c r="G125" s="164" t="s">
        <v>423</v>
      </c>
    </row>
    <row r="126" spans="1:7">
      <c r="A126" s="213">
        <v>6511</v>
      </c>
      <c r="B126" s="161" t="s">
        <v>431</v>
      </c>
      <c r="C126" s="75" t="str">
        <f t="shared" si="6"/>
        <v>Kirchengemeinde Hohen-Sülzen</v>
      </c>
      <c r="D126" s="74" t="str">
        <f t="shared" si="4"/>
        <v>6511</v>
      </c>
      <c r="E126" s="74" t="str">
        <f t="shared" si="5"/>
        <v>900036511</v>
      </c>
      <c r="F126" s="74">
        <v>900036598</v>
      </c>
      <c r="G126" s="164" t="s">
        <v>423</v>
      </c>
    </row>
    <row r="127" spans="1:7">
      <c r="A127" s="213">
        <v>6513</v>
      </c>
      <c r="B127" s="161" t="s">
        <v>432</v>
      </c>
      <c r="C127" s="75" t="str">
        <f t="shared" si="6"/>
        <v>Kirchengemeinde Kriegsheim</v>
      </c>
      <c r="D127" s="74" t="str">
        <f t="shared" si="4"/>
        <v>6513</v>
      </c>
      <c r="E127" s="74" t="str">
        <f t="shared" si="5"/>
        <v>900036513</v>
      </c>
      <c r="F127" s="74">
        <v>900036598</v>
      </c>
      <c r="G127" s="164" t="s">
        <v>423</v>
      </c>
    </row>
    <row r="128" spans="1:7">
      <c r="A128" s="213">
        <v>6514</v>
      </c>
      <c r="B128" s="161" t="s">
        <v>433</v>
      </c>
      <c r="C128" s="75" t="str">
        <f t="shared" si="6"/>
        <v>Kirchengemeinde Mettenheim</v>
      </c>
      <c r="D128" s="74" t="str">
        <f t="shared" si="4"/>
        <v>6514</v>
      </c>
      <c r="E128" s="74" t="str">
        <f t="shared" si="5"/>
        <v>900036514</v>
      </c>
      <c r="F128" s="74">
        <v>900036598</v>
      </c>
      <c r="G128" s="164" t="s">
        <v>423</v>
      </c>
    </row>
    <row r="129" spans="1:7">
      <c r="A129" s="213">
        <v>6516</v>
      </c>
      <c r="B129" s="161" t="s">
        <v>434</v>
      </c>
      <c r="C129" s="75" t="str">
        <f t="shared" si="6"/>
        <v>Kirchengemeinde Monsheim</v>
      </c>
      <c r="D129" s="74" t="str">
        <f t="shared" si="4"/>
        <v>6516</v>
      </c>
      <c r="E129" s="74" t="str">
        <f t="shared" si="5"/>
        <v>900036516</v>
      </c>
      <c r="F129" s="74">
        <v>900036598</v>
      </c>
      <c r="G129" s="164" t="s">
        <v>423</v>
      </c>
    </row>
    <row r="130" spans="1:7">
      <c r="A130" s="213">
        <v>6517</v>
      </c>
      <c r="B130" s="161" t="s">
        <v>435</v>
      </c>
      <c r="C130" s="75" t="str">
        <f t="shared" si="6"/>
        <v>Kirchengemeinde Monzernheim</v>
      </c>
      <c r="D130" s="74" t="str">
        <f t="shared" ref="D130:D186" si="7">IF(LEN($A130)&lt;=4,LEFT(TEXT($A130,"0000"),4),LEFT(TEXT($A130,"000000"),4))</f>
        <v>6517</v>
      </c>
      <c r="E130" s="74" t="str">
        <f t="shared" ref="E130:E193" si="8">$M$1&amp;$D130</f>
        <v>900036517</v>
      </c>
      <c r="F130" s="74">
        <v>900036598</v>
      </c>
      <c r="G130" s="164" t="s">
        <v>423</v>
      </c>
    </row>
    <row r="131" spans="1:7">
      <c r="A131" s="213">
        <v>6518</v>
      </c>
      <c r="B131" s="161" t="s">
        <v>436</v>
      </c>
      <c r="C131" s="75" t="str">
        <f t="shared" si="6"/>
        <v>Kirchengemeinde Mörstadt</v>
      </c>
      <c r="D131" s="74" t="str">
        <f t="shared" si="7"/>
        <v>6518</v>
      </c>
      <c r="E131" s="74" t="str">
        <f t="shared" si="8"/>
        <v>900036518</v>
      </c>
      <c r="F131" s="74">
        <v>900036598</v>
      </c>
      <c r="G131" s="164" t="s">
        <v>423</v>
      </c>
    </row>
    <row r="132" spans="1:7">
      <c r="A132" s="213">
        <v>6519</v>
      </c>
      <c r="B132" s="161" t="s">
        <v>437</v>
      </c>
      <c r="C132" s="75" t="str">
        <f t="shared" si="6"/>
        <v>Kirchengemeinde Mölsheim-Nieder-Flörsheim</v>
      </c>
      <c r="D132" s="74" t="str">
        <f t="shared" si="7"/>
        <v>6519</v>
      </c>
      <c r="E132" s="74" t="str">
        <f t="shared" si="8"/>
        <v>900036519</v>
      </c>
      <c r="F132" s="74">
        <v>900036598</v>
      </c>
      <c r="G132" s="164" t="s">
        <v>423</v>
      </c>
    </row>
    <row r="133" spans="1:7">
      <c r="A133" s="213">
        <v>6520</v>
      </c>
      <c r="B133" s="161" t="s">
        <v>438</v>
      </c>
      <c r="C133" s="75" t="str">
        <f t="shared" si="6"/>
        <v>Kirchengemeinde Osthofen</v>
      </c>
      <c r="D133" s="74" t="str">
        <f t="shared" si="7"/>
        <v>6520</v>
      </c>
      <c r="E133" s="74" t="str">
        <f t="shared" si="8"/>
        <v>900036520</v>
      </c>
      <c r="F133" s="74">
        <v>900036598</v>
      </c>
      <c r="G133" s="164" t="s">
        <v>423</v>
      </c>
    </row>
    <row r="134" spans="1:7">
      <c r="A134" s="213">
        <v>6521</v>
      </c>
      <c r="B134" s="161" t="s">
        <v>439</v>
      </c>
      <c r="C134" s="75" t="str">
        <f t="shared" si="6"/>
        <v>Kirchengemeinde Rheindürkheim</v>
      </c>
      <c r="D134" s="74" t="str">
        <f t="shared" si="7"/>
        <v>6521</v>
      </c>
      <c r="E134" s="74" t="str">
        <f t="shared" si="8"/>
        <v>900036521</v>
      </c>
      <c r="F134" s="74">
        <v>900036598</v>
      </c>
      <c r="G134" s="164" t="s">
        <v>423</v>
      </c>
    </row>
    <row r="135" spans="1:7">
      <c r="A135" s="213">
        <v>6522</v>
      </c>
      <c r="B135" s="161" t="s">
        <v>440</v>
      </c>
      <c r="C135" s="75" t="str">
        <f t="shared" si="6"/>
        <v>Kirchengemeinde Wachenheim</v>
      </c>
      <c r="D135" s="74" t="str">
        <f t="shared" si="7"/>
        <v>6522</v>
      </c>
      <c r="E135" s="74" t="str">
        <f t="shared" si="8"/>
        <v>900036522</v>
      </c>
      <c r="F135" s="74">
        <v>900036598</v>
      </c>
      <c r="G135" s="164" t="s">
        <v>423</v>
      </c>
    </row>
    <row r="136" spans="1:7">
      <c r="A136" s="213">
        <v>6523</v>
      </c>
      <c r="B136" s="161" t="s">
        <v>441</v>
      </c>
      <c r="C136" s="75" t="str">
        <f t="shared" si="6"/>
        <v>Kirchengemeinde Westhofen</v>
      </c>
      <c r="D136" s="74" t="str">
        <f t="shared" si="7"/>
        <v>6523</v>
      </c>
      <c r="E136" s="74" t="str">
        <f t="shared" si="8"/>
        <v>900036523</v>
      </c>
      <c r="F136" s="74">
        <v>900036598</v>
      </c>
      <c r="G136" s="164" t="s">
        <v>423</v>
      </c>
    </row>
    <row r="137" spans="1:7">
      <c r="A137" s="213">
        <v>6524</v>
      </c>
      <c r="B137" s="161" t="s">
        <v>442</v>
      </c>
      <c r="C137" s="75" t="str">
        <f t="shared" si="6"/>
        <v>Kirchengemeinde Pfeddersheim</v>
      </c>
      <c r="D137" s="74" t="str">
        <f t="shared" si="7"/>
        <v>6524</v>
      </c>
      <c r="E137" s="74" t="str">
        <f t="shared" si="8"/>
        <v>900036524</v>
      </c>
      <c r="F137" s="74">
        <v>900036598</v>
      </c>
      <c r="G137" s="164" t="s">
        <v>423</v>
      </c>
    </row>
    <row r="138" spans="1:7">
      <c r="A138" s="213">
        <v>6527</v>
      </c>
      <c r="B138" s="161" t="s">
        <v>443</v>
      </c>
      <c r="C138" s="75" t="str">
        <f t="shared" si="6"/>
        <v>Kirchengemeinde Worms-Heppenheim</v>
      </c>
      <c r="D138" s="74" t="str">
        <f t="shared" si="7"/>
        <v>6527</v>
      </c>
      <c r="E138" s="74" t="str">
        <f t="shared" si="8"/>
        <v>900036527</v>
      </c>
      <c r="F138" s="74">
        <v>900036598</v>
      </c>
      <c r="G138" s="164" t="s">
        <v>423</v>
      </c>
    </row>
    <row r="139" spans="1:7">
      <c r="A139" s="213">
        <v>6528</v>
      </c>
      <c r="B139" s="161" t="s">
        <v>444</v>
      </c>
      <c r="C139" s="75" t="str">
        <f t="shared" si="6"/>
        <v>Kirchengemeinde Offstein</v>
      </c>
      <c r="D139" s="74" t="str">
        <f t="shared" si="7"/>
        <v>6528</v>
      </c>
      <c r="E139" s="74" t="str">
        <f t="shared" si="8"/>
        <v>900036528</v>
      </c>
      <c r="F139" s="74">
        <v>900036598</v>
      </c>
      <c r="G139" s="164" t="s">
        <v>423</v>
      </c>
    </row>
    <row r="140" spans="1:7">
      <c r="A140" s="213">
        <v>6529</v>
      </c>
      <c r="B140" s="161" t="s">
        <v>445</v>
      </c>
      <c r="C140" s="75" t="str">
        <f t="shared" ref="C140:C149" si="9">MID(B140,5,100)</f>
        <v>Kirchengemeinde Worms-Herrnsheim</v>
      </c>
      <c r="D140" s="74" t="str">
        <f t="shared" si="7"/>
        <v>6529</v>
      </c>
      <c r="E140" s="74" t="str">
        <f t="shared" si="8"/>
        <v>900036529</v>
      </c>
      <c r="F140" s="74">
        <v>900036598</v>
      </c>
      <c r="G140" s="164" t="s">
        <v>423</v>
      </c>
    </row>
    <row r="141" spans="1:7">
      <c r="A141" s="213">
        <v>6530</v>
      </c>
      <c r="B141" s="161" t="s">
        <v>446</v>
      </c>
      <c r="C141" s="75" t="str">
        <f t="shared" si="9"/>
        <v>Kirchengemeinde Worms-Hochheim</v>
      </c>
      <c r="D141" s="74" t="str">
        <f t="shared" si="7"/>
        <v>6530</v>
      </c>
      <c r="E141" s="74" t="str">
        <f t="shared" si="8"/>
        <v>900036530</v>
      </c>
      <c r="F141" s="74">
        <v>900036598</v>
      </c>
      <c r="G141" s="164" t="s">
        <v>423</v>
      </c>
    </row>
    <row r="142" spans="1:7">
      <c r="A142" s="213">
        <v>6531</v>
      </c>
      <c r="B142" s="161" t="s">
        <v>447</v>
      </c>
      <c r="C142" s="75" t="str">
        <f t="shared" si="9"/>
        <v>Kirchengemeinde Worms-Horchheim</v>
      </c>
      <c r="D142" s="74" t="str">
        <f t="shared" si="7"/>
        <v>6531</v>
      </c>
      <c r="E142" s="74" t="str">
        <f t="shared" si="8"/>
        <v>900036531</v>
      </c>
      <c r="F142" s="74">
        <v>900036598</v>
      </c>
      <c r="G142" s="164" t="s">
        <v>423</v>
      </c>
    </row>
    <row r="143" spans="1:7">
      <c r="A143" s="213">
        <v>6532</v>
      </c>
      <c r="B143" s="161" t="s">
        <v>448</v>
      </c>
      <c r="C143" s="75" t="str">
        <f t="shared" si="9"/>
        <v>Kirchengemeinde Worms-Leiselheim</v>
      </c>
      <c r="D143" s="74" t="str">
        <f t="shared" si="7"/>
        <v>6532</v>
      </c>
      <c r="E143" s="74" t="str">
        <f t="shared" si="8"/>
        <v>900036532</v>
      </c>
      <c r="F143" s="74">
        <v>900036598</v>
      </c>
      <c r="G143" s="164" t="s">
        <v>423</v>
      </c>
    </row>
    <row r="144" spans="1:7">
      <c r="A144" s="213">
        <v>6533</v>
      </c>
      <c r="B144" s="161" t="s">
        <v>449</v>
      </c>
      <c r="C144" s="75" t="str">
        <f t="shared" si="9"/>
        <v>Kirchengemeinde Worms-Neuhausen-Versöhnungsg.</v>
      </c>
      <c r="D144" s="74" t="str">
        <f t="shared" si="7"/>
        <v>6533</v>
      </c>
      <c r="E144" s="74" t="str">
        <f t="shared" si="8"/>
        <v>900036533</v>
      </c>
      <c r="F144" s="74">
        <v>900036598</v>
      </c>
      <c r="G144" s="164" t="s">
        <v>423</v>
      </c>
    </row>
    <row r="145" spans="1:7">
      <c r="A145" s="213">
        <v>6534</v>
      </c>
      <c r="B145" s="161" t="s">
        <v>450</v>
      </c>
      <c r="C145" s="75" t="str">
        <f t="shared" si="9"/>
        <v>Kirchengemeinde Worms-Pfiffligheim</v>
      </c>
      <c r="D145" s="74" t="str">
        <f t="shared" si="7"/>
        <v>6534</v>
      </c>
      <c r="E145" s="74" t="str">
        <f t="shared" si="8"/>
        <v>900036534</v>
      </c>
      <c r="F145" s="74">
        <v>900036598</v>
      </c>
      <c r="G145" s="164" t="s">
        <v>423</v>
      </c>
    </row>
    <row r="146" spans="1:7">
      <c r="A146" s="213">
        <v>6537</v>
      </c>
      <c r="B146" s="161" t="s">
        <v>451</v>
      </c>
      <c r="C146" s="75" t="str">
        <f t="shared" si="9"/>
        <v>Kirchengemeinde Worms Luthergemeinde</v>
      </c>
      <c r="D146" s="74" t="str">
        <f t="shared" si="7"/>
        <v>6537</v>
      </c>
      <c r="E146" s="74" t="str">
        <f t="shared" si="8"/>
        <v>900036537</v>
      </c>
      <c r="F146" s="74">
        <v>900036598</v>
      </c>
      <c r="G146" s="164" t="s">
        <v>423</v>
      </c>
    </row>
    <row r="147" spans="1:7">
      <c r="A147" s="213">
        <v>6538</v>
      </c>
      <c r="B147" s="161" t="s">
        <v>452</v>
      </c>
      <c r="C147" s="75" t="str">
        <f t="shared" si="9"/>
        <v>Kirchengemeinde Worms-Innenstadt</v>
      </c>
      <c r="D147" s="74" t="str">
        <f t="shared" si="7"/>
        <v>6538</v>
      </c>
      <c r="E147" s="74" t="str">
        <f t="shared" si="8"/>
        <v>900036538</v>
      </c>
      <c r="F147" s="74">
        <v>900036598</v>
      </c>
      <c r="G147" s="164" t="s">
        <v>423</v>
      </c>
    </row>
    <row r="148" spans="1:7">
      <c r="A148" s="213">
        <v>6598</v>
      </c>
      <c r="B148" s="162" t="s">
        <v>453</v>
      </c>
      <c r="C148" s="75" t="str">
        <f t="shared" si="9"/>
        <v>Dekanat Worms-Wonnegau</v>
      </c>
      <c r="D148" s="74" t="str">
        <f t="shared" si="7"/>
        <v>6598</v>
      </c>
      <c r="E148" s="74" t="str">
        <f t="shared" si="8"/>
        <v>900036598</v>
      </c>
      <c r="F148" s="74">
        <v>900036598</v>
      </c>
      <c r="G148" s="164" t="s">
        <v>423</v>
      </c>
    </row>
    <row r="149" spans="1:7">
      <c r="A149" s="213">
        <v>9160</v>
      </c>
      <c r="B149" s="162" t="s">
        <v>454</v>
      </c>
      <c r="C149" s="75" t="str">
        <f t="shared" si="9"/>
        <v>Gesamtgemeinde Worms</v>
      </c>
      <c r="D149" s="74" t="str">
        <f t="shared" si="7"/>
        <v>9160</v>
      </c>
      <c r="E149" s="74" t="str">
        <f t="shared" si="8"/>
        <v>900039160</v>
      </c>
      <c r="F149" s="74">
        <v>900036598</v>
      </c>
      <c r="G149" s="164" t="s">
        <v>423</v>
      </c>
    </row>
    <row r="150" spans="1:7">
      <c r="A150" s="213">
        <v>9901</v>
      </c>
      <c r="B150" s="162" t="s">
        <v>455</v>
      </c>
      <c r="C150" s="165" t="str">
        <f>B150</f>
        <v>Stiftung "Auf dem Weg"</v>
      </c>
      <c r="D150" s="74" t="str">
        <f t="shared" si="7"/>
        <v>9901</v>
      </c>
      <c r="E150" s="74" t="str">
        <f t="shared" si="8"/>
        <v>900039901</v>
      </c>
      <c r="F150" s="74">
        <v>900036598</v>
      </c>
      <c r="G150" s="164" t="s">
        <v>348</v>
      </c>
    </row>
    <row r="151" spans="1:7">
      <c r="A151" s="213">
        <v>9902</v>
      </c>
      <c r="B151" s="162" t="s">
        <v>456</v>
      </c>
      <c r="C151" s="165" t="str">
        <f t="shared" ref="C151:C168" si="10">B151</f>
        <v>Stiftung "Herztat"</v>
      </c>
      <c r="D151" s="74" t="str">
        <f t="shared" si="7"/>
        <v>9902</v>
      </c>
      <c r="E151" s="74" t="str">
        <f t="shared" si="8"/>
        <v>900039902</v>
      </c>
      <c r="F151" s="74">
        <v>900036598</v>
      </c>
      <c r="G151" s="164" t="s">
        <v>423</v>
      </c>
    </row>
    <row r="152" spans="1:7">
      <c r="A152" s="213">
        <v>9903</v>
      </c>
      <c r="B152" s="162" t="s">
        <v>457</v>
      </c>
      <c r="C152" s="165" t="str">
        <f t="shared" si="10"/>
        <v>Stiftung "Brote und Fische"</v>
      </c>
      <c r="D152" s="74" t="str">
        <f t="shared" si="7"/>
        <v>9903</v>
      </c>
      <c r="E152" s="74" t="str">
        <f t="shared" si="8"/>
        <v>900039903</v>
      </c>
      <c r="F152" s="74">
        <v>900036598</v>
      </c>
      <c r="G152" s="164" t="s">
        <v>373</v>
      </c>
    </row>
    <row r="153" spans="1:7">
      <c r="A153" s="213">
        <v>9904</v>
      </c>
      <c r="B153" s="162" t="s">
        <v>458</v>
      </c>
      <c r="C153" s="165" t="str">
        <f t="shared" si="10"/>
        <v>Emmausgemeinde-Stiftung</v>
      </c>
      <c r="D153" s="74" t="str">
        <f t="shared" si="7"/>
        <v>9904</v>
      </c>
      <c r="E153" s="74" t="str">
        <f t="shared" si="8"/>
        <v>900039904</v>
      </c>
      <c r="F153" s="74">
        <v>900036598</v>
      </c>
      <c r="G153" s="164" t="s">
        <v>373</v>
      </c>
    </row>
    <row r="154" spans="1:7">
      <c r="A154" s="213">
        <v>9905</v>
      </c>
      <c r="B154" s="162" t="s">
        <v>552</v>
      </c>
      <c r="C154" s="165" t="str">
        <f t="shared" si="10"/>
        <v>Stiftung Ev. Kgm. Mainz-Gonsenheim</v>
      </c>
      <c r="D154" s="74" t="str">
        <f t="shared" si="7"/>
        <v>9905</v>
      </c>
      <c r="E154" s="74" t="str">
        <f t="shared" si="8"/>
        <v>900039905</v>
      </c>
      <c r="F154" s="74">
        <v>900036598</v>
      </c>
      <c r="G154" s="164" t="s">
        <v>373</v>
      </c>
    </row>
    <row r="155" spans="1:7">
      <c r="A155" s="213">
        <v>9906</v>
      </c>
      <c r="B155" s="162" t="s">
        <v>459</v>
      </c>
      <c r="C155" s="165" t="str">
        <f t="shared" si="10"/>
        <v>Ev. Rebenstiftung Mainz</v>
      </c>
      <c r="D155" s="74" t="str">
        <f t="shared" si="7"/>
        <v>9906</v>
      </c>
      <c r="E155" s="74" t="str">
        <f t="shared" si="8"/>
        <v>900039906</v>
      </c>
      <c r="F155" s="74">
        <v>900036598</v>
      </c>
      <c r="G155" s="164" t="s">
        <v>373</v>
      </c>
    </row>
    <row r="156" spans="1:7">
      <c r="A156" s="213">
        <v>9907</v>
      </c>
      <c r="B156" s="162" t="s">
        <v>460</v>
      </c>
      <c r="C156" s="165" t="str">
        <f t="shared" si="10"/>
        <v>Ev. Philippus-Stiftung</v>
      </c>
      <c r="D156" s="74" t="str">
        <f t="shared" si="7"/>
        <v>9907</v>
      </c>
      <c r="E156" s="74" t="str">
        <f t="shared" si="8"/>
        <v>900039907</v>
      </c>
      <c r="F156" s="74">
        <v>900036598</v>
      </c>
      <c r="G156" s="164" t="s">
        <v>373</v>
      </c>
    </row>
    <row r="157" spans="1:7">
      <c r="A157" s="213">
        <v>9908</v>
      </c>
      <c r="B157" s="162" t="s">
        <v>461</v>
      </c>
      <c r="C157" s="165" t="str">
        <f t="shared" si="10"/>
        <v>Stiftung "Evangelisches Mainz"</v>
      </c>
      <c r="D157" s="74" t="str">
        <f t="shared" si="7"/>
        <v>9908</v>
      </c>
      <c r="E157" s="74" t="str">
        <f t="shared" si="8"/>
        <v>900039908</v>
      </c>
      <c r="F157" s="74">
        <v>900036598</v>
      </c>
      <c r="G157" s="164" t="s">
        <v>373</v>
      </c>
    </row>
    <row r="158" spans="1:7">
      <c r="A158" s="213">
        <v>9909</v>
      </c>
      <c r="B158" s="162" t="s">
        <v>462</v>
      </c>
      <c r="C158" s="165" t="str">
        <f t="shared" si="10"/>
        <v>Stiftung Friedenskirche</v>
      </c>
      <c r="D158" s="74" t="str">
        <f t="shared" si="7"/>
        <v>9909</v>
      </c>
      <c r="E158" s="74" t="str">
        <f t="shared" si="8"/>
        <v>900039909</v>
      </c>
      <c r="F158" s="74">
        <v>900036598</v>
      </c>
      <c r="G158" s="164" t="s">
        <v>373</v>
      </c>
    </row>
    <row r="159" spans="1:7">
      <c r="A159" s="213">
        <v>9910</v>
      </c>
      <c r="B159" s="162" t="s">
        <v>463</v>
      </c>
      <c r="C159" s="165" t="str">
        <f t="shared" si="10"/>
        <v>Adolf-Goertz-Stiftung</v>
      </c>
      <c r="D159" s="74" t="str">
        <f t="shared" si="7"/>
        <v>9910</v>
      </c>
      <c r="E159" s="74" t="str">
        <f t="shared" si="8"/>
        <v>900039910</v>
      </c>
      <c r="F159" s="74">
        <v>900036598</v>
      </c>
      <c r="G159" s="164" t="s">
        <v>373</v>
      </c>
    </row>
    <row r="160" spans="1:7">
      <c r="A160" s="213">
        <v>9911</v>
      </c>
      <c r="B160" s="162" t="s">
        <v>464</v>
      </c>
      <c r="C160" s="165" t="str">
        <f t="shared" si="10"/>
        <v>Stiftung Karin Eckert und Paula Ludwig</v>
      </c>
      <c r="D160" s="74" t="str">
        <f t="shared" si="7"/>
        <v>9911</v>
      </c>
      <c r="E160" s="74" t="str">
        <f t="shared" si="8"/>
        <v>900039911</v>
      </c>
      <c r="F160" s="74">
        <v>900036598</v>
      </c>
      <c r="G160" s="164" t="s">
        <v>373</v>
      </c>
    </row>
    <row r="161" spans="1:7">
      <c r="A161" s="213">
        <v>9912</v>
      </c>
      <c r="B161" s="162" t="s">
        <v>465</v>
      </c>
      <c r="C161" s="165" t="str">
        <f t="shared" si="10"/>
        <v>Kirchenstiftung Guntersblum</v>
      </c>
      <c r="D161" s="74" t="str">
        <f t="shared" si="7"/>
        <v>9912</v>
      </c>
      <c r="E161" s="74" t="str">
        <f t="shared" si="8"/>
        <v>900039912</v>
      </c>
      <c r="F161" s="74">
        <v>900036598</v>
      </c>
      <c r="G161" s="164" t="s">
        <v>348</v>
      </c>
    </row>
    <row r="162" spans="1:7">
      <c r="A162" s="213">
        <v>9913</v>
      </c>
      <c r="B162" s="162" t="s">
        <v>466</v>
      </c>
      <c r="C162" s="165" t="str">
        <f t="shared" si="10"/>
        <v>Stiftung "Mertensstiftung"</v>
      </c>
      <c r="D162" s="74" t="str">
        <f t="shared" si="7"/>
        <v>9913</v>
      </c>
      <c r="E162" s="74" t="str">
        <f t="shared" si="8"/>
        <v>900039913</v>
      </c>
      <c r="F162" s="74">
        <v>900036598</v>
      </c>
      <c r="G162" s="161" t="s">
        <v>314</v>
      </c>
    </row>
    <row r="163" spans="1:7">
      <c r="A163" s="213">
        <v>9914</v>
      </c>
      <c r="B163" s="162" t="s">
        <v>467</v>
      </c>
      <c r="C163" s="165" t="str">
        <f t="shared" si="10"/>
        <v>Zweckverband Diakonie Ingelheim</v>
      </c>
      <c r="D163" s="74" t="str">
        <f t="shared" si="7"/>
        <v>9914</v>
      </c>
      <c r="E163" s="74" t="str">
        <f t="shared" si="8"/>
        <v>900039914</v>
      </c>
      <c r="F163" s="74">
        <v>900036598</v>
      </c>
      <c r="G163" s="164" t="s">
        <v>348</v>
      </c>
    </row>
    <row r="164" spans="1:7">
      <c r="A164" s="213">
        <v>9915</v>
      </c>
      <c r="B164" s="162" t="s">
        <v>468</v>
      </c>
      <c r="C164" s="165" t="str">
        <f t="shared" si="10"/>
        <v>AG Jugend in Rheinhessen</v>
      </c>
      <c r="D164" s="74" t="str">
        <f t="shared" si="7"/>
        <v>9915</v>
      </c>
      <c r="E164" s="74" t="str">
        <f t="shared" si="8"/>
        <v>900039915</v>
      </c>
      <c r="F164" s="74">
        <v>900036598</v>
      </c>
      <c r="G164" s="164" t="s">
        <v>373</v>
      </c>
    </row>
    <row r="165" spans="1:7">
      <c r="A165" s="213">
        <v>9916</v>
      </c>
      <c r="B165" s="162" t="s">
        <v>469</v>
      </c>
      <c r="C165" s="165" t="str">
        <f t="shared" si="10"/>
        <v>Zweckverb. Ev. Sozialst. Nierstein</v>
      </c>
      <c r="D165" s="74" t="str">
        <f t="shared" si="7"/>
        <v>9916</v>
      </c>
      <c r="E165" s="74" t="str">
        <f t="shared" si="8"/>
        <v>900039916</v>
      </c>
      <c r="F165" s="74">
        <v>900036598</v>
      </c>
      <c r="G165" s="164" t="s">
        <v>348</v>
      </c>
    </row>
    <row r="166" spans="1:7">
      <c r="A166" s="213">
        <v>9917</v>
      </c>
      <c r="B166" s="162" t="s">
        <v>470</v>
      </c>
      <c r="C166" s="165" t="str">
        <f t="shared" si="10"/>
        <v>Rheinhessischer Baufonds II</v>
      </c>
      <c r="D166" s="74" t="str">
        <f t="shared" si="7"/>
        <v>9917</v>
      </c>
      <c r="E166" s="74" t="str">
        <f t="shared" si="8"/>
        <v>900039917</v>
      </c>
      <c r="F166" s="74">
        <v>900036598</v>
      </c>
      <c r="G166" s="164"/>
    </row>
    <row r="167" spans="1:7">
      <c r="A167" s="213">
        <v>9951</v>
      </c>
      <c r="B167" s="162" t="s">
        <v>471</v>
      </c>
      <c r="C167" s="165" t="str">
        <f t="shared" si="10"/>
        <v>Starenkasten-KGM Hochheim</v>
      </c>
      <c r="D167" s="74" t="str">
        <f t="shared" si="7"/>
        <v>9951</v>
      </c>
      <c r="E167" s="74" t="str">
        <f t="shared" si="8"/>
        <v>900039951</v>
      </c>
      <c r="F167" s="74">
        <v>900036598</v>
      </c>
      <c r="G167" s="164" t="s">
        <v>423</v>
      </c>
    </row>
    <row r="168" spans="1:7">
      <c r="A168" s="213">
        <v>9952</v>
      </c>
      <c r="B168" s="162" t="s">
        <v>472</v>
      </c>
      <c r="C168" s="165" t="str">
        <f t="shared" si="10"/>
        <v>BGA RV-RV Rheinhessen</v>
      </c>
      <c r="D168" s="74" t="str">
        <f t="shared" si="7"/>
        <v>9952</v>
      </c>
      <c r="E168" s="74" t="str">
        <f t="shared" si="8"/>
        <v>900039952</v>
      </c>
      <c r="F168" s="74"/>
      <c r="G168" s="164"/>
    </row>
    <row r="169" spans="1:7">
      <c r="A169" s="214">
        <v>29800</v>
      </c>
      <c r="B169" s="161" t="s">
        <v>473</v>
      </c>
      <c r="C169" s="75" t="str">
        <f>B169</f>
        <v>Geschäftsstelle Dekanat Alzey-Wöllstein</v>
      </c>
      <c r="D169" s="74" t="str">
        <f t="shared" si="7"/>
        <v>0298</v>
      </c>
      <c r="E169" s="74" t="str">
        <f t="shared" si="8"/>
        <v>900030298</v>
      </c>
      <c r="F169" s="155">
        <v>900030298</v>
      </c>
      <c r="G169" s="161" t="s">
        <v>314</v>
      </c>
    </row>
    <row r="170" spans="1:7">
      <c r="A170" s="214">
        <v>29801</v>
      </c>
      <c r="B170" s="161" t="s">
        <v>474</v>
      </c>
      <c r="C170" s="75" t="str">
        <f t="shared" ref="C170:C184" si="11">MID(B170,5,100)</f>
        <v>KiTa Albig</v>
      </c>
      <c r="D170" s="74" t="str">
        <f t="shared" si="7"/>
        <v>0298</v>
      </c>
      <c r="E170" s="74" t="str">
        <f t="shared" si="8"/>
        <v>900030298</v>
      </c>
      <c r="F170" s="155">
        <v>900030298</v>
      </c>
      <c r="G170" s="161" t="s">
        <v>314</v>
      </c>
    </row>
    <row r="171" spans="1:7">
      <c r="A171" s="214">
        <v>29802</v>
      </c>
      <c r="B171" s="161" t="s">
        <v>475</v>
      </c>
      <c r="C171" s="75" t="str">
        <f t="shared" si="11"/>
        <v>KiTa Alzey, MNW</v>
      </c>
      <c r="D171" s="74" t="str">
        <f t="shared" si="7"/>
        <v>0298</v>
      </c>
      <c r="E171" s="74" t="str">
        <f t="shared" si="8"/>
        <v>900030298</v>
      </c>
      <c r="F171" s="155">
        <v>900030298</v>
      </c>
      <c r="G171" s="161" t="s">
        <v>314</v>
      </c>
    </row>
    <row r="172" spans="1:7">
      <c r="A172" s="214">
        <v>29803</v>
      </c>
      <c r="B172" s="161" t="s">
        <v>476</v>
      </c>
      <c r="C172" s="75" t="str">
        <f t="shared" si="11"/>
        <v>KiTa Alzey, Am Wall</v>
      </c>
      <c r="D172" s="74" t="str">
        <f t="shared" si="7"/>
        <v>0298</v>
      </c>
      <c r="E172" s="74" t="str">
        <f t="shared" si="8"/>
        <v>900030298</v>
      </c>
      <c r="F172" s="155">
        <v>900030298</v>
      </c>
      <c r="G172" s="161" t="s">
        <v>314</v>
      </c>
    </row>
    <row r="173" spans="1:7">
      <c r="A173" s="214">
        <v>29804</v>
      </c>
      <c r="B173" s="161" t="s">
        <v>477</v>
      </c>
      <c r="C173" s="75" t="str">
        <f t="shared" si="11"/>
        <v>KiTa Bechtolsheim</v>
      </c>
      <c r="D173" s="74" t="str">
        <f t="shared" si="7"/>
        <v>0298</v>
      </c>
      <c r="E173" s="74" t="str">
        <f t="shared" si="8"/>
        <v>900030298</v>
      </c>
      <c r="F173" s="155">
        <v>900030298</v>
      </c>
      <c r="G173" s="161" t="s">
        <v>314</v>
      </c>
    </row>
    <row r="174" spans="1:7">
      <c r="A174" s="214">
        <v>29805</v>
      </c>
      <c r="B174" s="161" t="s">
        <v>478</v>
      </c>
      <c r="C174" s="75" t="str">
        <f t="shared" si="11"/>
        <v>KiTa Gundersheim</v>
      </c>
      <c r="D174" s="74" t="str">
        <f t="shared" si="7"/>
        <v>0298</v>
      </c>
      <c r="E174" s="74" t="str">
        <f t="shared" si="8"/>
        <v>900030298</v>
      </c>
      <c r="F174" s="155">
        <v>900030298</v>
      </c>
      <c r="G174" s="161" t="s">
        <v>314</v>
      </c>
    </row>
    <row r="175" spans="1:7">
      <c r="A175" s="214">
        <v>29806</v>
      </c>
      <c r="B175" s="161" t="s">
        <v>479</v>
      </c>
      <c r="C175" s="75" t="str">
        <f t="shared" si="11"/>
        <v>KiTa Ober-Flörsheim</v>
      </c>
      <c r="D175" s="74" t="str">
        <f t="shared" si="7"/>
        <v>0298</v>
      </c>
      <c r="E175" s="74" t="str">
        <f t="shared" si="8"/>
        <v>900030298</v>
      </c>
      <c r="F175" s="155">
        <v>900030298</v>
      </c>
      <c r="G175" s="161" t="s">
        <v>314</v>
      </c>
    </row>
    <row r="176" spans="1:7">
      <c r="A176" s="214">
        <v>29807</v>
      </c>
      <c r="B176" s="161" t="s">
        <v>480</v>
      </c>
      <c r="C176" s="75" t="str">
        <f t="shared" si="11"/>
        <v>KiTa Offenheim</v>
      </c>
      <c r="D176" s="74" t="str">
        <f t="shared" si="7"/>
        <v>0298</v>
      </c>
      <c r="E176" s="74" t="str">
        <f t="shared" si="8"/>
        <v>900030298</v>
      </c>
      <c r="F176" s="155">
        <v>900030298</v>
      </c>
      <c r="G176" s="161" t="s">
        <v>314</v>
      </c>
    </row>
    <row r="177" spans="1:7">
      <c r="A177" s="214">
        <v>29808</v>
      </c>
      <c r="B177" s="161" t="s">
        <v>481</v>
      </c>
      <c r="C177" s="75" t="str">
        <f t="shared" si="11"/>
        <v>KiTa Weinheim</v>
      </c>
      <c r="D177" s="74" t="str">
        <f t="shared" si="7"/>
        <v>0298</v>
      </c>
      <c r="E177" s="74" t="str">
        <f t="shared" si="8"/>
        <v>900030298</v>
      </c>
      <c r="F177" s="155">
        <v>900030298</v>
      </c>
      <c r="G177" s="161" t="s">
        <v>314</v>
      </c>
    </row>
    <row r="178" spans="1:7">
      <c r="A178" s="214">
        <v>29809</v>
      </c>
      <c r="B178" s="161" t="s">
        <v>482</v>
      </c>
      <c r="C178" s="75" t="str">
        <f t="shared" si="11"/>
        <v>KiTa Gimbsheim</v>
      </c>
      <c r="D178" s="74" t="str">
        <f t="shared" si="7"/>
        <v>0298</v>
      </c>
      <c r="E178" s="74" t="str">
        <f t="shared" si="8"/>
        <v>900030298</v>
      </c>
      <c r="F178" s="155">
        <v>900030298</v>
      </c>
      <c r="G178" s="161" t="s">
        <v>314</v>
      </c>
    </row>
    <row r="179" spans="1:7">
      <c r="A179" s="214">
        <v>29810</v>
      </c>
      <c r="B179" s="161" t="s">
        <v>483</v>
      </c>
      <c r="C179" s="75" t="str">
        <f t="shared" si="11"/>
        <v>KiTa Badenheim</v>
      </c>
      <c r="D179" s="74" t="str">
        <f t="shared" si="7"/>
        <v>0298</v>
      </c>
      <c r="E179" s="74" t="str">
        <f t="shared" si="8"/>
        <v>900030298</v>
      </c>
      <c r="F179" s="155">
        <v>900030298</v>
      </c>
      <c r="G179" s="161" t="s">
        <v>314</v>
      </c>
    </row>
    <row r="180" spans="1:7">
      <c r="A180" s="214">
        <v>29811</v>
      </c>
      <c r="B180" s="164" t="s">
        <v>484</v>
      </c>
      <c r="C180" s="75" t="str">
        <f t="shared" si="11"/>
        <v>KiTa Rheindürkheim</v>
      </c>
      <c r="D180" s="74" t="str">
        <f t="shared" si="7"/>
        <v>0298</v>
      </c>
      <c r="E180" s="74" t="str">
        <f t="shared" si="8"/>
        <v>900030298</v>
      </c>
      <c r="F180" s="155">
        <v>900030298</v>
      </c>
      <c r="G180" s="161" t="s">
        <v>314</v>
      </c>
    </row>
    <row r="181" spans="1:7">
      <c r="A181" s="214">
        <v>29812</v>
      </c>
      <c r="B181" s="161" t="s">
        <v>485</v>
      </c>
      <c r="C181" s="75" t="str">
        <f t="shared" si="11"/>
        <v>KiTa Bornheim</v>
      </c>
      <c r="D181" s="74" t="str">
        <f t="shared" si="7"/>
        <v>0298</v>
      </c>
      <c r="E181" s="74" t="str">
        <f t="shared" si="8"/>
        <v>900030298</v>
      </c>
      <c r="F181" s="155">
        <v>900030298</v>
      </c>
      <c r="G181" s="161" t="s">
        <v>314</v>
      </c>
    </row>
    <row r="182" spans="1:7">
      <c r="A182" s="214">
        <v>29813</v>
      </c>
      <c r="B182" s="164" t="s">
        <v>486</v>
      </c>
      <c r="C182" s="75" t="str">
        <f t="shared" si="11"/>
        <v>KiTa Alsheim</v>
      </c>
      <c r="D182" s="74" t="str">
        <f t="shared" si="7"/>
        <v>0298</v>
      </c>
      <c r="E182" s="74" t="str">
        <f t="shared" si="8"/>
        <v>900030298</v>
      </c>
      <c r="F182" s="155">
        <v>900030298</v>
      </c>
      <c r="G182" s="161" t="s">
        <v>314</v>
      </c>
    </row>
    <row r="183" spans="1:7">
      <c r="A183" s="214">
        <v>29814</v>
      </c>
      <c r="B183" s="161" t="s">
        <v>487</v>
      </c>
      <c r="C183" s="75" t="str">
        <f t="shared" si="11"/>
        <v>KiTa Piccolino, Schornsheim</v>
      </c>
      <c r="D183" s="74" t="str">
        <f t="shared" si="7"/>
        <v>0298</v>
      </c>
      <c r="E183" s="74" t="str">
        <f t="shared" si="8"/>
        <v>900030298</v>
      </c>
      <c r="F183" s="155">
        <v>900030298</v>
      </c>
      <c r="G183" s="161" t="s">
        <v>314</v>
      </c>
    </row>
    <row r="184" spans="1:7">
      <c r="A184" s="214">
        <v>29816</v>
      </c>
      <c r="B184" s="164" t="s">
        <v>488</v>
      </c>
      <c r="C184" s="75" t="str">
        <f t="shared" si="11"/>
        <v>KiTa Sonnenschein Wonsheim</v>
      </c>
      <c r="D184" s="74" t="str">
        <f t="shared" si="7"/>
        <v>0298</v>
      </c>
      <c r="E184" s="74" t="str">
        <f t="shared" si="8"/>
        <v>900030298</v>
      </c>
      <c r="F184" s="155">
        <v>900030298</v>
      </c>
      <c r="G184" s="161" t="s">
        <v>314</v>
      </c>
    </row>
    <row r="185" spans="1:7">
      <c r="A185" s="214">
        <v>29817</v>
      </c>
      <c r="B185" s="164" t="s">
        <v>489</v>
      </c>
      <c r="C185" s="75" t="str">
        <f>MID(B185,5,100)</f>
        <v>KiTa Hohen-Sülzen</v>
      </c>
      <c r="D185" s="74" t="str">
        <f t="shared" si="7"/>
        <v>0298</v>
      </c>
      <c r="E185" s="74" t="str">
        <f t="shared" si="8"/>
        <v>900030298</v>
      </c>
      <c r="F185" s="155">
        <v>900030298</v>
      </c>
      <c r="G185" s="161" t="s">
        <v>314</v>
      </c>
    </row>
    <row r="186" spans="1:7">
      <c r="A186" s="214">
        <v>29818</v>
      </c>
      <c r="B186" s="164" t="s">
        <v>490</v>
      </c>
      <c r="C186" s="75" t="str">
        <f>MID(B186,5,100)</f>
        <v>KiTa Monsheim</v>
      </c>
      <c r="D186" s="74" t="str">
        <f t="shared" si="7"/>
        <v>0298</v>
      </c>
      <c r="E186" s="74" t="str">
        <f t="shared" si="8"/>
        <v>900030298</v>
      </c>
      <c r="F186" s="155">
        <v>900030298</v>
      </c>
      <c r="G186" s="161" t="s">
        <v>314</v>
      </c>
    </row>
    <row r="187" spans="1:7">
      <c r="A187" s="214">
        <v>109800</v>
      </c>
      <c r="B187" s="162" t="s">
        <v>491</v>
      </c>
      <c r="C187" s="75" t="str">
        <f>B187</f>
        <v>Geschäftsstelle GüT Dekanat Ingelheim-Oppenheim</v>
      </c>
      <c r="D187" s="74">
        <v>1098</v>
      </c>
      <c r="E187" s="74" t="str">
        <f t="shared" si="8"/>
        <v>900031098</v>
      </c>
      <c r="F187" s="74">
        <v>900031098</v>
      </c>
      <c r="G187" s="161" t="s">
        <v>348</v>
      </c>
    </row>
    <row r="188" spans="1:7">
      <c r="A188" s="214">
        <v>109801</v>
      </c>
      <c r="B188" s="161" t="s">
        <v>492</v>
      </c>
      <c r="C188" s="75" t="str">
        <f t="shared" ref="C188:C212" si="12">MID(B188,5,100)</f>
        <v>KiTa Johannesgemeinde Bingen</v>
      </c>
      <c r="D188" s="74" t="str">
        <f t="shared" ref="D188:D220" si="13">IF(LEN($A188)&lt;=4,LEFT(TEXT($A188,"0000"),4),LEFT(TEXT($A188,"000000"),4))</f>
        <v>1098</v>
      </c>
      <c r="E188" s="74" t="str">
        <f t="shared" si="8"/>
        <v>900031098</v>
      </c>
      <c r="F188" s="74">
        <v>900031098</v>
      </c>
      <c r="G188" s="161" t="s">
        <v>348</v>
      </c>
    </row>
    <row r="189" spans="1:7">
      <c r="A189" s="214">
        <v>109802</v>
      </c>
      <c r="B189" s="161" t="s">
        <v>493</v>
      </c>
      <c r="C189" s="75" t="str">
        <f t="shared" si="12"/>
        <v>KiTa Christusgemeinde Bingen</v>
      </c>
      <c r="D189" s="74" t="str">
        <f t="shared" si="13"/>
        <v>1098</v>
      </c>
      <c r="E189" s="74" t="str">
        <f t="shared" si="8"/>
        <v>900031098</v>
      </c>
      <c r="F189" s="74">
        <v>900031098</v>
      </c>
      <c r="G189" s="161" t="s">
        <v>348</v>
      </c>
    </row>
    <row r="190" spans="1:7">
      <c r="A190" s="214">
        <v>109803</v>
      </c>
      <c r="B190" s="161" t="s">
        <v>494</v>
      </c>
      <c r="C190" s="75" t="str">
        <f t="shared" si="12"/>
        <v>KiTa Gensingen-Grolsheim</v>
      </c>
      <c r="D190" s="74" t="str">
        <f t="shared" si="13"/>
        <v>1098</v>
      </c>
      <c r="E190" s="74" t="str">
        <f t="shared" si="8"/>
        <v>900031098</v>
      </c>
      <c r="F190" s="74">
        <v>900031098</v>
      </c>
      <c r="G190" s="161" t="s">
        <v>348</v>
      </c>
    </row>
    <row r="191" spans="1:7">
      <c r="A191" s="214">
        <v>109804</v>
      </c>
      <c r="B191" s="161" t="s">
        <v>495</v>
      </c>
      <c r="C191" s="75" t="str">
        <f t="shared" si="12"/>
        <v>KiTa Saalkirchengemeinde Ingelheim</v>
      </c>
      <c r="D191" s="74" t="str">
        <f t="shared" si="13"/>
        <v>1098</v>
      </c>
      <c r="E191" s="74" t="str">
        <f t="shared" si="8"/>
        <v>900031098</v>
      </c>
      <c r="F191" s="74">
        <v>900031098</v>
      </c>
      <c r="G191" s="161" t="s">
        <v>348</v>
      </c>
    </row>
    <row r="192" spans="1:7">
      <c r="A192" s="214">
        <v>109805</v>
      </c>
      <c r="B192" s="161" t="s">
        <v>496</v>
      </c>
      <c r="C192" s="75" t="str">
        <f t="shared" si="12"/>
        <v>KiTa Martin-Luther-King, Jugenheim</v>
      </c>
      <c r="D192" s="74" t="str">
        <f t="shared" si="13"/>
        <v>1098</v>
      </c>
      <c r="E192" s="74" t="str">
        <f t="shared" si="8"/>
        <v>900031098</v>
      </c>
      <c r="F192" s="74">
        <v>900031098</v>
      </c>
      <c r="G192" s="161" t="s">
        <v>348</v>
      </c>
    </row>
    <row r="193" spans="1:7">
      <c r="A193" s="214">
        <v>109806</v>
      </c>
      <c r="B193" s="161" t="s">
        <v>497</v>
      </c>
      <c r="C193" s="75" t="str">
        <f t="shared" si="12"/>
        <v>KiTa Nieder-Olm</v>
      </c>
      <c r="D193" s="74" t="str">
        <f t="shared" si="13"/>
        <v>1098</v>
      </c>
      <c r="E193" s="74" t="str">
        <f t="shared" si="8"/>
        <v>900031098</v>
      </c>
      <c r="F193" s="74">
        <v>900031098</v>
      </c>
      <c r="G193" s="161" t="s">
        <v>348</v>
      </c>
    </row>
    <row r="194" spans="1:7">
      <c r="A194" s="214">
        <v>109807</v>
      </c>
      <c r="B194" s="164" t="s">
        <v>498</v>
      </c>
      <c r="C194" s="75" t="str">
        <f t="shared" si="12"/>
        <v>KiTa Nierstein</v>
      </c>
      <c r="D194" s="74" t="str">
        <f t="shared" si="13"/>
        <v>1098</v>
      </c>
      <c r="E194" s="74" t="str">
        <f t="shared" ref="E194:E248" si="14">$M$1&amp;$D194</f>
        <v>900031098</v>
      </c>
      <c r="F194" s="74">
        <v>900031098</v>
      </c>
      <c r="G194" s="161" t="s">
        <v>348</v>
      </c>
    </row>
    <row r="195" spans="1:7">
      <c r="A195" s="214">
        <v>109808</v>
      </c>
      <c r="B195" s="164" t="s">
        <v>499</v>
      </c>
      <c r="C195" s="75" t="str">
        <f t="shared" si="12"/>
        <v>KiTa Uelversheim</v>
      </c>
      <c r="D195" s="74" t="str">
        <f t="shared" si="13"/>
        <v>1098</v>
      </c>
      <c r="E195" s="74" t="str">
        <f t="shared" si="14"/>
        <v>900031098</v>
      </c>
      <c r="F195" s="74">
        <v>900031098</v>
      </c>
      <c r="G195" s="161" t="s">
        <v>348</v>
      </c>
    </row>
    <row r="196" spans="1:7">
      <c r="A196" s="214">
        <v>109809</v>
      </c>
      <c r="B196" s="161" t="s">
        <v>500</v>
      </c>
      <c r="C196" s="75" t="str">
        <f t="shared" si="12"/>
        <v>KiTa Vers.Kirche Ingelheim</v>
      </c>
      <c r="D196" s="74" t="str">
        <f t="shared" si="13"/>
        <v>1098</v>
      </c>
      <c r="E196" s="74" t="str">
        <f t="shared" si="14"/>
        <v>900031098</v>
      </c>
      <c r="F196" s="74">
        <v>900036598</v>
      </c>
      <c r="G196" s="161" t="s">
        <v>348</v>
      </c>
    </row>
    <row r="197" spans="1:7">
      <c r="A197" s="214">
        <v>109810</v>
      </c>
      <c r="B197" s="164" t="s">
        <v>501</v>
      </c>
      <c r="C197" s="75" t="str">
        <f t="shared" si="12"/>
        <v>KiTa Dexheim</v>
      </c>
      <c r="D197" s="74" t="str">
        <f t="shared" si="13"/>
        <v>1098</v>
      </c>
      <c r="E197" s="74" t="str">
        <f t="shared" si="14"/>
        <v>900031098</v>
      </c>
      <c r="F197" s="74">
        <v>900036598</v>
      </c>
      <c r="G197" s="164" t="s">
        <v>348</v>
      </c>
    </row>
    <row r="198" spans="1:7">
      <c r="A198" s="214">
        <v>109811</v>
      </c>
      <c r="B198" s="164" t="s">
        <v>502</v>
      </c>
      <c r="C198" s="75" t="str">
        <f>MID(B198,5,100)</f>
        <v>KiTa Sprendlingen</v>
      </c>
      <c r="D198" s="74" t="str">
        <f t="shared" si="13"/>
        <v>1098</v>
      </c>
      <c r="E198" s="74" t="str">
        <f t="shared" si="14"/>
        <v>900031098</v>
      </c>
      <c r="F198" s="155">
        <v>900030298</v>
      </c>
      <c r="G198" s="161" t="s">
        <v>314</v>
      </c>
    </row>
    <row r="199" spans="1:7">
      <c r="A199" s="214">
        <v>341901</v>
      </c>
      <c r="B199" s="161" t="s">
        <v>503</v>
      </c>
      <c r="C199" s="75" t="str">
        <f t="shared" si="12"/>
        <v>KiTa Partenheim</v>
      </c>
      <c r="D199" s="74" t="str">
        <f t="shared" si="13"/>
        <v>3419</v>
      </c>
      <c r="E199" s="74" t="str">
        <f t="shared" si="14"/>
        <v>900033419</v>
      </c>
      <c r="F199" s="74">
        <v>900036598</v>
      </c>
      <c r="G199" s="161" t="s">
        <v>348</v>
      </c>
    </row>
    <row r="200" spans="1:7">
      <c r="A200" s="214">
        <v>380801</v>
      </c>
      <c r="B200" s="163" t="s">
        <v>504</v>
      </c>
      <c r="C200" s="73" t="str">
        <f t="shared" si="12"/>
        <v>KiTa Auferstehungsgemeinde Mainz</v>
      </c>
      <c r="D200" s="74" t="str">
        <f t="shared" si="13"/>
        <v>3808</v>
      </c>
      <c r="E200" s="74" t="str">
        <f t="shared" si="14"/>
        <v>900033808</v>
      </c>
      <c r="F200" s="158">
        <v>900033898</v>
      </c>
      <c r="G200" s="163" t="s">
        <v>373</v>
      </c>
    </row>
    <row r="201" spans="1:7">
      <c r="A201" s="214">
        <v>381601</v>
      </c>
      <c r="B201" s="164" t="s">
        <v>553</v>
      </c>
      <c r="C201" s="75" t="str">
        <f t="shared" si="12"/>
        <v>KiTa Melanchthon Mainz</v>
      </c>
      <c r="D201" s="74" t="str">
        <f t="shared" si="13"/>
        <v>3816</v>
      </c>
      <c r="E201" s="74" t="str">
        <f t="shared" si="14"/>
        <v>900033816</v>
      </c>
      <c r="F201" s="74">
        <v>900033898</v>
      </c>
      <c r="G201" s="164" t="s">
        <v>373</v>
      </c>
    </row>
    <row r="202" spans="1:7">
      <c r="A202" s="214">
        <v>381602</v>
      </c>
      <c r="B202" s="164" t="s">
        <v>554</v>
      </c>
      <c r="C202" s="75" t="str">
        <f t="shared" si="12"/>
        <v>KiTa Luther Mainz</v>
      </c>
      <c r="D202" s="74" t="str">
        <f t="shared" si="13"/>
        <v>3816</v>
      </c>
      <c r="E202" s="74" t="str">
        <f t="shared" si="14"/>
        <v>900033816</v>
      </c>
      <c r="F202" s="74">
        <v>900033898</v>
      </c>
      <c r="G202" s="164" t="s">
        <v>373</v>
      </c>
    </row>
    <row r="203" spans="1:7">
      <c r="A203" s="214">
        <v>389801</v>
      </c>
      <c r="B203" s="164" t="s">
        <v>505</v>
      </c>
      <c r="C203" s="75" t="str">
        <f t="shared" si="12"/>
        <v>KiTa Budenzauber</v>
      </c>
      <c r="D203" s="74" t="str">
        <f t="shared" si="13"/>
        <v>3898</v>
      </c>
      <c r="E203" s="74" t="str">
        <f t="shared" si="14"/>
        <v>900033898</v>
      </c>
      <c r="F203" s="74">
        <v>900033898</v>
      </c>
      <c r="G203" s="164" t="s">
        <v>373</v>
      </c>
    </row>
    <row r="204" spans="1:7">
      <c r="A204" s="214">
        <v>389802</v>
      </c>
      <c r="B204" s="164" t="s">
        <v>555</v>
      </c>
      <c r="C204" s="75" t="str">
        <f t="shared" si="12"/>
        <v>KiTa Mainz-Hechtsheim</v>
      </c>
      <c r="D204" s="74" t="str">
        <f t="shared" si="13"/>
        <v>3898</v>
      </c>
      <c r="E204" s="74" t="str">
        <f t="shared" si="14"/>
        <v>900033898</v>
      </c>
      <c r="F204" s="74">
        <v>900033898</v>
      </c>
      <c r="G204" s="164" t="s">
        <v>373</v>
      </c>
    </row>
    <row r="205" spans="1:7">
      <c r="A205" s="214">
        <v>389803</v>
      </c>
      <c r="B205" s="164" t="s">
        <v>506</v>
      </c>
      <c r="C205" s="75" t="str">
        <f t="shared" si="12"/>
        <v>KiTa Altmünster</v>
      </c>
      <c r="D205" s="74" t="str">
        <f t="shared" si="13"/>
        <v>3898</v>
      </c>
      <c r="E205" s="74" t="str">
        <f t="shared" si="14"/>
        <v>900033898</v>
      </c>
      <c r="F205" s="74">
        <v>900033898</v>
      </c>
      <c r="G205" s="164" t="s">
        <v>373</v>
      </c>
    </row>
    <row r="206" spans="1:7">
      <c r="A206" s="214">
        <v>389804</v>
      </c>
      <c r="B206" s="164" t="s">
        <v>556</v>
      </c>
      <c r="C206" s="75" t="str">
        <f t="shared" si="12"/>
        <v>KiTa Emmaus Auferstehungsgemeinde Mainz</v>
      </c>
      <c r="D206" s="74" t="str">
        <f t="shared" si="13"/>
        <v>3898</v>
      </c>
      <c r="E206" s="74" t="str">
        <f t="shared" si="14"/>
        <v>900033898</v>
      </c>
      <c r="F206" s="74">
        <v>900033898</v>
      </c>
      <c r="G206" s="164" t="s">
        <v>373</v>
      </c>
    </row>
    <row r="207" spans="1:7">
      <c r="A207" s="214">
        <v>389805</v>
      </c>
      <c r="B207" s="164" t="s">
        <v>557</v>
      </c>
      <c r="C207" s="75" t="str">
        <f t="shared" si="12"/>
        <v>KiTa Kunterbunt d. Christuskirchengem. Mainz</v>
      </c>
      <c r="D207" s="74" t="str">
        <f t="shared" si="13"/>
        <v>3898</v>
      </c>
      <c r="E207" s="74" t="str">
        <f t="shared" si="14"/>
        <v>900033898</v>
      </c>
      <c r="F207" s="74">
        <v>900033898</v>
      </c>
      <c r="G207" s="164" t="s">
        <v>373</v>
      </c>
    </row>
    <row r="208" spans="1:7">
      <c r="A208" s="214">
        <v>389806</v>
      </c>
      <c r="B208" s="164" t="s">
        <v>558</v>
      </c>
      <c r="C208" s="75" t="str">
        <f t="shared" si="12"/>
        <v>KiTa Mainz-Gonsenheim</v>
      </c>
      <c r="D208" s="74" t="str">
        <f t="shared" si="13"/>
        <v>3898</v>
      </c>
      <c r="E208" s="74" t="str">
        <f t="shared" si="14"/>
        <v>900033898</v>
      </c>
      <c r="F208" s="74">
        <v>900033898</v>
      </c>
      <c r="G208" s="164" t="s">
        <v>373</v>
      </c>
    </row>
    <row r="209" spans="1:7">
      <c r="A209" s="214">
        <v>389807</v>
      </c>
      <c r="B209" s="164" t="s">
        <v>559</v>
      </c>
      <c r="C209" s="75" t="str">
        <f t="shared" si="12"/>
        <v>KiTa Maria-Magdalena Mainz</v>
      </c>
      <c r="D209" s="74" t="str">
        <f t="shared" si="13"/>
        <v>3898</v>
      </c>
      <c r="E209" s="74" t="str">
        <f t="shared" si="14"/>
        <v>900033898</v>
      </c>
      <c r="F209" s="74">
        <v>900033898</v>
      </c>
      <c r="G209" s="164" t="s">
        <v>373</v>
      </c>
    </row>
    <row r="210" spans="1:7">
      <c r="A210" s="214">
        <v>389808</v>
      </c>
      <c r="B210" s="164" t="s">
        <v>560</v>
      </c>
      <c r="C210" s="75" t="str">
        <f t="shared" si="12"/>
        <v>KiTa Mainz-Mombach</v>
      </c>
      <c r="D210" s="74" t="str">
        <f t="shared" si="13"/>
        <v>3898</v>
      </c>
      <c r="E210" s="74" t="str">
        <f t="shared" si="14"/>
        <v>900033898</v>
      </c>
      <c r="F210" s="74">
        <v>900033898</v>
      </c>
      <c r="G210" s="164" t="s">
        <v>373</v>
      </c>
    </row>
    <row r="211" spans="1:7">
      <c r="A211" s="214">
        <v>389809</v>
      </c>
      <c r="B211" s="164" t="s">
        <v>561</v>
      </c>
      <c r="C211" s="75" t="str">
        <f t="shared" si="12"/>
        <v>Kinderhaus Paulusgemeinde Mainz</v>
      </c>
      <c r="D211" s="74" t="str">
        <f t="shared" si="13"/>
        <v>3898</v>
      </c>
      <c r="E211" s="74" t="str">
        <f t="shared" si="14"/>
        <v>900033898</v>
      </c>
      <c r="F211" s="74">
        <v>900033898</v>
      </c>
      <c r="G211" s="164" t="s">
        <v>373</v>
      </c>
    </row>
    <row r="212" spans="1:7">
      <c r="A212" s="214">
        <v>389810</v>
      </c>
      <c r="B212" s="164" t="s">
        <v>562</v>
      </c>
      <c r="C212" s="75" t="str">
        <f t="shared" si="12"/>
        <v>KiTa Arche Noah Mainz-Weisenau</v>
      </c>
      <c r="D212" s="74" t="str">
        <f t="shared" si="13"/>
        <v>3898</v>
      </c>
      <c r="E212" s="74" t="str">
        <f t="shared" si="14"/>
        <v>900033898</v>
      </c>
      <c r="F212" s="74">
        <v>900033898</v>
      </c>
      <c r="G212" s="164" t="s">
        <v>373</v>
      </c>
    </row>
    <row r="213" spans="1:7">
      <c r="A213" s="213">
        <v>431101</v>
      </c>
      <c r="B213" s="161" t="s">
        <v>507</v>
      </c>
      <c r="C213" s="161" t="s">
        <v>507</v>
      </c>
      <c r="D213" s="74" t="str">
        <f t="shared" si="13"/>
        <v>4311</v>
      </c>
      <c r="E213" s="74" t="str">
        <f t="shared" si="14"/>
        <v>900034311</v>
      </c>
      <c r="F213" s="74">
        <v>900031098</v>
      </c>
      <c r="G213" s="164" t="s">
        <v>348</v>
      </c>
    </row>
    <row r="214" spans="1:7">
      <c r="A214" s="213">
        <v>431102</v>
      </c>
      <c r="B214" s="161" t="s">
        <v>508</v>
      </c>
      <c r="C214" s="161" t="s">
        <v>508</v>
      </c>
      <c r="D214" s="74" t="str">
        <f t="shared" si="13"/>
        <v>4311</v>
      </c>
      <c r="E214" s="74" t="str">
        <f t="shared" si="14"/>
        <v>900034311</v>
      </c>
      <c r="F214" s="74">
        <v>900031098</v>
      </c>
      <c r="G214" s="164" t="s">
        <v>348</v>
      </c>
    </row>
    <row r="215" spans="1:7">
      <c r="A215" s="213">
        <v>431501</v>
      </c>
      <c r="B215" s="161" t="s">
        <v>509</v>
      </c>
      <c r="C215" s="75" t="str">
        <f>MID(B215,5,100)</f>
        <v>Kirchengemeinde Oppenheim, Katharinenkirche</v>
      </c>
      <c r="D215" s="74" t="str">
        <f t="shared" si="13"/>
        <v>4315</v>
      </c>
      <c r="E215" s="74" t="str">
        <f t="shared" si="14"/>
        <v>900034315</v>
      </c>
      <c r="F215" s="74">
        <v>900031098</v>
      </c>
      <c r="G215" s="164" t="s">
        <v>348</v>
      </c>
    </row>
    <row r="216" spans="1:7">
      <c r="A216" s="213">
        <v>431502</v>
      </c>
      <c r="B216" s="161" t="s">
        <v>510</v>
      </c>
      <c r="C216" s="75" t="str">
        <f>MID(B216,5,100)</f>
        <v>Kirchengemeinde Oppenheim, Altenzentrum</v>
      </c>
      <c r="D216" s="74" t="str">
        <f t="shared" si="13"/>
        <v>4315</v>
      </c>
      <c r="E216" s="74" t="str">
        <f t="shared" si="14"/>
        <v>900034315</v>
      </c>
      <c r="F216" s="74">
        <v>900031098</v>
      </c>
      <c r="G216" s="164" t="s">
        <v>348</v>
      </c>
    </row>
    <row r="217" spans="1:7">
      <c r="A217" s="213">
        <v>432101</v>
      </c>
      <c r="B217" s="162" t="s">
        <v>511</v>
      </c>
      <c r="C217" s="75" t="s">
        <v>511</v>
      </c>
      <c r="D217" s="74" t="str">
        <f t="shared" si="13"/>
        <v>4321</v>
      </c>
      <c r="E217" s="74" t="str">
        <f t="shared" si="14"/>
        <v>900034321</v>
      </c>
      <c r="F217" s="74">
        <v>900031098</v>
      </c>
      <c r="G217" s="164" t="s">
        <v>348</v>
      </c>
    </row>
    <row r="218" spans="1:7">
      <c r="A218" s="214">
        <v>432101</v>
      </c>
      <c r="B218" s="164" t="s">
        <v>512</v>
      </c>
      <c r="C218" s="75" t="str">
        <f>MID(B218,5,100)</f>
        <v>KiTa Oppenheim</v>
      </c>
      <c r="D218" s="74" t="str">
        <f t="shared" si="13"/>
        <v>4321</v>
      </c>
      <c r="E218" s="74" t="str">
        <f t="shared" si="14"/>
        <v>900034321</v>
      </c>
      <c r="F218" s="74">
        <v>900031098</v>
      </c>
      <c r="G218" s="164" t="s">
        <v>348</v>
      </c>
    </row>
    <row r="219" spans="1:7">
      <c r="A219" s="213">
        <v>432102</v>
      </c>
      <c r="B219" s="162" t="s">
        <v>513</v>
      </c>
      <c r="C219" s="75" t="s">
        <v>513</v>
      </c>
      <c r="D219" s="74" t="str">
        <f t="shared" si="13"/>
        <v>4321</v>
      </c>
      <c r="E219" s="74" t="str">
        <f t="shared" si="14"/>
        <v>900034321</v>
      </c>
      <c r="F219" s="74">
        <v>900031098</v>
      </c>
      <c r="G219" s="164" t="s">
        <v>348</v>
      </c>
    </row>
    <row r="220" spans="1:7">
      <c r="A220" s="214">
        <v>652501</v>
      </c>
      <c r="B220" s="162" t="s">
        <v>514</v>
      </c>
      <c r="C220" s="75" t="str">
        <f>MID(B220,5,100)</f>
        <v>KiTa Worms-Dreifaltigkeitsgemeinde</v>
      </c>
      <c r="D220" s="74" t="str">
        <f t="shared" si="13"/>
        <v>6525</v>
      </c>
      <c r="E220" s="74" t="str">
        <f t="shared" si="14"/>
        <v>900036525</v>
      </c>
      <c r="F220" s="74">
        <v>900036598</v>
      </c>
      <c r="G220" s="164" t="s">
        <v>423</v>
      </c>
    </row>
    <row r="221" spans="1:7">
      <c r="A221" s="214">
        <v>659800</v>
      </c>
      <c r="B221" s="162" t="s">
        <v>515</v>
      </c>
      <c r="C221" s="75" t="str">
        <f>B221</f>
        <v>Geschäftsstelle GüT Dekanat Worms-Wonnegau</v>
      </c>
      <c r="D221" s="74">
        <v>6598</v>
      </c>
      <c r="E221" s="74" t="str">
        <f t="shared" si="14"/>
        <v>900036598</v>
      </c>
      <c r="F221" s="74">
        <v>900036598</v>
      </c>
      <c r="G221" s="164" t="s">
        <v>423</v>
      </c>
    </row>
    <row r="222" spans="1:7">
      <c r="A222" s="214">
        <v>659801</v>
      </c>
      <c r="B222" s="162" t="s">
        <v>516</v>
      </c>
      <c r="C222" s="75" t="str">
        <f t="shared" ref="C222:C246" si="15">MID(B222,5,100)</f>
        <v>KiTa Dreifaltigkeit</v>
      </c>
      <c r="D222" s="74" t="str">
        <f t="shared" ref="D222:D248" si="16">IF(LEN($A222)&lt;=4,LEFT(TEXT($A222,"0000"),4),LEFT(TEXT($A222,"000000"),4))</f>
        <v>6598</v>
      </c>
      <c r="E222" s="74" t="str">
        <f t="shared" si="14"/>
        <v>900036598</v>
      </c>
      <c r="F222" s="74">
        <v>900036598</v>
      </c>
      <c r="G222" s="164" t="s">
        <v>423</v>
      </c>
    </row>
    <row r="223" spans="1:7">
      <c r="A223" s="214">
        <v>659802</v>
      </c>
      <c r="B223" s="162" t="s">
        <v>517</v>
      </c>
      <c r="C223" s="75" t="str">
        <f t="shared" si="15"/>
        <v>KiTa Anne-Frank Friedrichsgemeinde</v>
      </c>
      <c r="D223" s="74" t="str">
        <f t="shared" si="16"/>
        <v>6598</v>
      </c>
      <c r="E223" s="74" t="str">
        <f t="shared" si="14"/>
        <v>900036598</v>
      </c>
      <c r="F223" s="74">
        <v>900036598</v>
      </c>
      <c r="G223" s="164" t="s">
        <v>423</v>
      </c>
    </row>
    <row r="224" spans="1:7">
      <c r="A224" s="214">
        <v>659803</v>
      </c>
      <c r="B224" s="162" t="s">
        <v>518</v>
      </c>
      <c r="C224" s="75" t="str">
        <f t="shared" si="15"/>
        <v>KiTa Sonnenblumen, Heppenheim</v>
      </c>
      <c r="D224" s="74" t="str">
        <f t="shared" si="16"/>
        <v>6598</v>
      </c>
      <c r="E224" s="74" t="str">
        <f t="shared" si="14"/>
        <v>900036598</v>
      </c>
      <c r="F224" s="74">
        <v>900036598</v>
      </c>
      <c r="G224" s="164" t="s">
        <v>423</v>
      </c>
    </row>
    <row r="225" spans="1:7">
      <c r="A225" s="214">
        <v>659804</v>
      </c>
      <c r="B225" s="162" t="s">
        <v>519</v>
      </c>
      <c r="C225" s="75" t="str">
        <f t="shared" si="15"/>
        <v>KiTa Herrnsheim</v>
      </c>
      <c r="D225" s="74" t="str">
        <f t="shared" si="16"/>
        <v>6598</v>
      </c>
      <c r="E225" s="74" t="str">
        <f t="shared" si="14"/>
        <v>900036598</v>
      </c>
      <c r="F225" s="74">
        <v>900036598</v>
      </c>
      <c r="G225" s="164" t="s">
        <v>423</v>
      </c>
    </row>
    <row r="226" spans="1:7">
      <c r="A226" s="214">
        <v>659805</v>
      </c>
      <c r="B226" s="162" t="s">
        <v>520</v>
      </c>
      <c r="C226" s="75" t="str">
        <f t="shared" si="15"/>
        <v>KiTa Hochheim</v>
      </c>
      <c r="D226" s="74" t="str">
        <f t="shared" si="16"/>
        <v>6598</v>
      </c>
      <c r="E226" s="74" t="str">
        <f t="shared" si="14"/>
        <v>900036598</v>
      </c>
      <c r="F226" s="74">
        <v>900036598</v>
      </c>
      <c r="G226" s="164" t="s">
        <v>423</v>
      </c>
    </row>
    <row r="227" spans="1:7">
      <c r="A227" s="214">
        <v>659806</v>
      </c>
      <c r="B227" s="162" t="s">
        <v>521</v>
      </c>
      <c r="C227" s="75" t="str">
        <f t="shared" si="15"/>
        <v>KiTa Regenbogen, Horchheim</v>
      </c>
      <c r="D227" s="74" t="str">
        <f t="shared" si="16"/>
        <v>6598</v>
      </c>
      <c r="E227" s="74" t="str">
        <f t="shared" si="14"/>
        <v>900036598</v>
      </c>
      <c r="F227" s="74">
        <v>900036598</v>
      </c>
      <c r="G227" s="164" t="s">
        <v>423</v>
      </c>
    </row>
    <row r="228" spans="1:7">
      <c r="A228" s="214">
        <v>659807</v>
      </c>
      <c r="B228" s="162" t="s">
        <v>522</v>
      </c>
      <c r="C228" s="75" t="str">
        <f t="shared" si="15"/>
        <v>KiTa Bartimäus, Leiselheim</v>
      </c>
      <c r="D228" s="74" t="str">
        <f t="shared" si="16"/>
        <v>6598</v>
      </c>
      <c r="E228" s="74" t="str">
        <f t="shared" si="14"/>
        <v>900036598</v>
      </c>
      <c r="F228" s="74">
        <v>900036598</v>
      </c>
      <c r="G228" s="164" t="s">
        <v>423</v>
      </c>
    </row>
    <row r="229" spans="1:7">
      <c r="A229" s="214">
        <v>659808</v>
      </c>
      <c r="B229" s="162" t="s">
        <v>523</v>
      </c>
      <c r="C229" s="75" t="str">
        <f t="shared" si="15"/>
        <v>KiTa Lukas, Lukasgemeinde</v>
      </c>
      <c r="D229" s="74" t="str">
        <f t="shared" si="16"/>
        <v>6598</v>
      </c>
      <c r="E229" s="74" t="str">
        <f t="shared" si="14"/>
        <v>900036598</v>
      </c>
      <c r="F229" s="74">
        <v>900036598</v>
      </c>
      <c r="G229" s="164" t="s">
        <v>423</v>
      </c>
    </row>
    <row r="230" spans="1:7">
      <c r="A230" s="214">
        <v>659809</v>
      </c>
      <c r="B230" s="162" t="s">
        <v>524</v>
      </c>
      <c r="C230" s="75" t="str">
        <f t="shared" si="15"/>
        <v>KiTa Oberlinhaus, Luthergemeinde</v>
      </c>
      <c r="D230" s="74" t="str">
        <f t="shared" si="16"/>
        <v>6598</v>
      </c>
      <c r="E230" s="74" t="str">
        <f t="shared" si="14"/>
        <v>900036598</v>
      </c>
      <c r="F230" s="74">
        <v>900036598</v>
      </c>
      <c r="G230" s="164" t="s">
        <v>423</v>
      </c>
    </row>
    <row r="231" spans="1:7">
      <c r="A231" s="214">
        <v>659810</v>
      </c>
      <c r="B231" s="162" t="s">
        <v>525</v>
      </c>
      <c r="C231" s="75" t="str">
        <f t="shared" si="15"/>
        <v>KiTa Käthe-Luther-Haus, Luthergemeinde</v>
      </c>
      <c r="D231" s="74" t="str">
        <f t="shared" si="16"/>
        <v>6598</v>
      </c>
      <c r="E231" s="74" t="str">
        <f t="shared" si="14"/>
        <v>900036598</v>
      </c>
      <c r="F231" s="74">
        <v>900036598</v>
      </c>
      <c r="G231" s="164" t="s">
        <v>423</v>
      </c>
    </row>
    <row r="232" spans="1:7">
      <c r="A232" s="214">
        <v>659812</v>
      </c>
      <c r="B232" s="162" t="s">
        <v>526</v>
      </c>
      <c r="C232" s="75" t="str">
        <f t="shared" si="15"/>
        <v>KiTa Magnus, Magnus-u. Matthäusgmd.</v>
      </c>
      <c r="D232" s="74" t="str">
        <f t="shared" si="16"/>
        <v>6598</v>
      </c>
      <c r="E232" s="74" t="str">
        <f t="shared" si="14"/>
        <v>900036598</v>
      </c>
      <c r="F232" s="74">
        <v>900036598</v>
      </c>
      <c r="G232" s="164" t="s">
        <v>423</v>
      </c>
    </row>
    <row r="233" spans="1:7">
      <c r="A233" s="214">
        <v>659813</v>
      </c>
      <c r="B233" s="162" t="s">
        <v>527</v>
      </c>
      <c r="C233" s="75" t="str">
        <f t="shared" si="15"/>
        <v>KiTa Matthäus, Magnus-u. Matthäusgmd.</v>
      </c>
      <c r="D233" s="74" t="str">
        <f t="shared" si="16"/>
        <v>6598</v>
      </c>
      <c r="E233" s="74" t="str">
        <f t="shared" si="14"/>
        <v>900036598</v>
      </c>
      <c r="F233" s="74">
        <v>900036598</v>
      </c>
      <c r="G233" s="164" t="s">
        <v>423</v>
      </c>
    </row>
    <row r="234" spans="1:7">
      <c r="A234" s="214">
        <v>659814</v>
      </c>
      <c r="B234" s="162" t="s">
        <v>528</v>
      </c>
      <c r="C234" s="75" t="str">
        <f t="shared" si="15"/>
        <v>KiTa Kleines-Ich, Neuhausen</v>
      </c>
      <c r="D234" s="74" t="str">
        <f t="shared" si="16"/>
        <v>6598</v>
      </c>
      <c r="E234" s="74" t="str">
        <f t="shared" si="14"/>
        <v>900036598</v>
      </c>
      <c r="F234" s="74">
        <v>900036598</v>
      </c>
      <c r="G234" s="164" t="s">
        <v>423</v>
      </c>
    </row>
    <row r="235" spans="1:7">
      <c r="A235" s="214">
        <v>659815</v>
      </c>
      <c r="B235" s="162" t="s">
        <v>529</v>
      </c>
      <c r="C235" s="75" t="str">
        <f t="shared" si="15"/>
        <v>KiTa Abrahams Kinder, Neuhausen</v>
      </c>
      <c r="D235" s="74" t="str">
        <f t="shared" si="16"/>
        <v>6598</v>
      </c>
      <c r="E235" s="74" t="str">
        <f t="shared" si="14"/>
        <v>900036598</v>
      </c>
      <c r="F235" s="74">
        <v>900036598</v>
      </c>
      <c r="G235" s="164" t="s">
        <v>423</v>
      </c>
    </row>
    <row r="236" spans="1:7">
      <c r="A236" s="214">
        <v>659816</v>
      </c>
      <c r="B236" s="162" t="s">
        <v>530</v>
      </c>
      <c r="C236" s="75" t="str">
        <f t="shared" si="15"/>
        <v>KiTa Am Engelsberg, Offstein</v>
      </c>
      <c r="D236" s="74" t="str">
        <f t="shared" si="16"/>
        <v>6598</v>
      </c>
      <c r="E236" s="74" t="str">
        <f t="shared" si="14"/>
        <v>900036598</v>
      </c>
      <c r="F236" s="74">
        <v>900036598</v>
      </c>
      <c r="G236" s="164" t="s">
        <v>423</v>
      </c>
    </row>
    <row r="237" spans="1:7">
      <c r="A237" s="214">
        <v>659817</v>
      </c>
      <c r="B237" s="162" t="s">
        <v>531</v>
      </c>
      <c r="C237" s="75" t="str">
        <f t="shared" si="15"/>
        <v>KiTa Pfiffligheim</v>
      </c>
      <c r="D237" s="74" t="str">
        <f t="shared" si="16"/>
        <v>6598</v>
      </c>
      <c r="E237" s="74" t="str">
        <f t="shared" si="14"/>
        <v>900036598</v>
      </c>
      <c r="F237" s="74">
        <v>900036598</v>
      </c>
      <c r="G237" s="164" t="s">
        <v>423</v>
      </c>
    </row>
    <row r="238" spans="1:7">
      <c r="A238" s="214">
        <v>659818</v>
      </c>
      <c r="B238" s="162" t="s">
        <v>532</v>
      </c>
      <c r="C238" s="75" t="str">
        <f t="shared" si="15"/>
        <v>KiTa Mölsheim</v>
      </c>
      <c r="D238" s="74" t="str">
        <f t="shared" si="16"/>
        <v>6598</v>
      </c>
      <c r="E238" s="74" t="str">
        <f t="shared" si="14"/>
        <v>900036598</v>
      </c>
      <c r="F238" s="74">
        <v>900036598</v>
      </c>
      <c r="G238" s="164" t="s">
        <v>423</v>
      </c>
    </row>
    <row r="239" spans="1:7">
      <c r="A239" s="214">
        <v>659819</v>
      </c>
      <c r="B239" s="162" t="s">
        <v>533</v>
      </c>
      <c r="C239" s="75" t="str">
        <f t="shared" si="15"/>
        <v>KiTa Wachenheim</v>
      </c>
      <c r="D239" s="74" t="str">
        <f t="shared" si="16"/>
        <v>6598</v>
      </c>
      <c r="E239" s="74" t="str">
        <f t="shared" si="14"/>
        <v>900036598</v>
      </c>
      <c r="F239" s="74">
        <v>900036598</v>
      </c>
      <c r="G239" s="164" t="s">
        <v>423</v>
      </c>
    </row>
    <row r="240" spans="1:7">
      <c r="A240" s="214">
        <v>659820</v>
      </c>
      <c r="B240" s="162" t="s">
        <v>534</v>
      </c>
      <c r="C240" s="75" t="str">
        <f t="shared" si="15"/>
        <v>KiTa Dalsheim</v>
      </c>
      <c r="D240" s="74" t="str">
        <f t="shared" si="16"/>
        <v>6598</v>
      </c>
      <c r="E240" s="74" t="str">
        <f t="shared" si="14"/>
        <v>900036598</v>
      </c>
      <c r="F240" s="74">
        <v>900036598</v>
      </c>
      <c r="G240" s="164" t="s">
        <v>423</v>
      </c>
    </row>
    <row r="241" spans="1:7">
      <c r="A241" s="214">
        <v>659822</v>
      </c>
      <c r="B241" s="162" t="s">
        <v>535</v>
      </c>
      <c r="C241" s="75" t="str">
        <f t="shared" si="15"/>
        <v>KiTa Sterngasse, Friedrichsgemeinde</v>
      </c>
      <c r="D241" s="74" t="str">
        <f t="shared" si="16"/>
        <v>6598</v>
      </c>
      <c r="E241" s="74" t="str">
        <f t="shared" si="14"/>
        <v>900036598</v>
      </c>
      <c r="F241" s="74">
        <v>900036598</v>
      </c>
      <c r="G241" s="164" t="s">
        <v>423</v>
      </c>
    </row>
    <row r="242" spans="1:7">
      <c r="A242" s="214">
        <v>659823</v>
      </c>
      <c r="B242" s="164" t="s">
        <v>536</v>
      </c>
      <c r="C242" s="75" t="str">
        <f t="shared" si="15"/>
        <v>KiTa Pfeddersheim</v>
      </c>
      <c r="D242" s="74" t="str">
        <f t="shared" si="16"/>
        <v>6598</v>
      </c>
      <c r="E242" s="74" t="str">
        <f t="shared" si="14"/>
        <v>900036598</v>
      </c>
      <c r="F242" s="74">
        <v>900036598</v>
      </c>
      <c r="G242" s="164" t="s">
        <v>423</v>
      </c>
    </row>
    <row r="243" spans="1:7">
      <c r="A243" s="214">
        <v>659824</v>
      </c>
      <c r="B243" s="164" t="s">
        <v>537</v>
      </c>
      <c r="C243" s="75" t="str">
        <f t="shared" si="15"/>
        <v>KiTa Osthofen</v>
      </c>
      <c r="D243" s="74" t="str">
        <f t="shared" si="16"/>
        <v>6598</v>
      </c>
      <c r="E243" s="74" t="str">
        <f t="shared" si="14"/>
        <v>900036598</v>
      </c>
      <c r="F243" s="74">
        <v>900036598</v>
      </c>
      <c r="G243" s="164" t="s">
        <v>423</v>
      </c>
    </row>
    <row r="244" spans="1:7">
      <c r="A244" s="214">
        <v>659825</v>
      </c>
      <c r="B244" s="164" t="s">
        <v>538</v>
      </c>
      <c r="C244" s="75" t="str">
        <f t="shared" si="15"/>
        <v>KiTa Seebachfrösche, Westhofen</v>
      </c>
      <c r="D244" s="74" t="str">
        <f t="shared" si="16"/>
        <v>6598</v>
      </c>
      <c r="E244" s="74" t="str">
        <f t="shared" si="14"/>
        <v>900036598</v>
      </c>
      <c r="F244" s="74">
        <v>900036598</v>
      </c>
      <c r="G244" s="164" t="s">
        <v>423</v>
      </c>
    </row>
    <row r="245" spans="1:7">
      <c r="A245" s="214">
        <v>659826</v>
      </c>
      <c r="B245" s="164" t="s">
        <v>539</v>
      </c>
      <c r="C245" s="75" t="str">
        <f t="shared" si="15"/>
        <v>KiTa Regenbogen, Eich</v>
      </c>
      <c r="D245" s="74" t="str">
        <f t="shared" si="16"/>
        <v>6598</v>
      </c>
      <c r="E245" s="74" t="str">
        <f t="shared" si="14"/>
        <v>900036598</v>
      </c>
      <c r="F245" s="74">
        <v>900036598</v>
      </c>
      <c r="G245" s="164" t="s">
        <v>423</v>
      </c>
    </row>
    <row r="246" spans="1:7">
      <c r="A246" s="214">
        <v>659827</v>
      </c>
      <c r="B246" s="164" t="s">
        <v>540</v>
      </c>
      <c r="C246" s="75" t="str">
        <f t="shared" si="15"/>
        <v>KiTa Morgenstern Mörstadt</v>
      </c>
      <c r="D246" s="74" t="str">
        <f t="shared" si="16"/>
        <v>6598</v>
      </c>
      <c r="E246" s="74" t="str">
        <f t="shared" si="14"/>
        <v>900036598</v>
      </c>
      <c r="F246" s="74">
        <v>900036598</v>
      </c>
      <c r="G246" s="164" t="s">
        <v>423</v>
      </c>
    </row>
    <row r="247" spans="1:7">
      <c r="A247" s="214">
        <v>916000</v>
      </c>
      <c r="B247" s="162" t="s">
        <v>541</v>
      </c>
      <c r="C247" s="75" t="str">
        <f>B247</f>
        <v>Gesamtgemeinde Worms</v>
      </c>
      <c r="D247" s="74" t="str">
        <f t="shared" si="16"/>
        <v>9160</v>
      </c>
      <c r="E247" s="74" t="str">
        <f t="shared" si="14"/>
        <v>900039160</v>
      </c>
      <c r="F247" s="74">
        <v>900036598</v>
      </c>
      <c r="G247" s="164" t="s">
        <v>423</v>
      </c>
    </row>
    <row r="248" spans="1:7">
      <c r="A248" s="214">
        <v>916027</v>
      </c>
      <c r="B248" s="162" t="s">
        <v>542</v>
      </c>
      <c r="C248" s="75" t="str">
        <f>MID(B248,5,100)</f>
        <v>KiTa Leiselheim / Sonderteil (GG Worms)</v>
      </c>
      <c r="D248" s="74" t="str">
        <f t="shared" si="16"/>
        <v>9160</v>
      </c>
      <c r="E248" s="74" t="str">
        <f t="shared" si="14"/>
        <v>900039160</v>
      </c>
      <c r="F248" s="74">
        <v>900036598</v>
      </c>
      <c r="G248" s="164" t="s">
        <v>423</v>
      </c>
    </row>
    <row r="249" spans="1:7">
      <c r="A249" s="156"/>
      <c r="B249" s="160"/>
      <c r="C249" s="73"/>
      <c r="D249" s="74"/>
      <c r="E249" s="74"/>
      <c r="F249" s="158"/>
      <c r="G249" s="163"/>
    </row>
    <row r="250" spans="1:7">
      <c r="A250" s="156"/>
      <c r="B250" s="160"/>
      <c r="C250" s="73"/>
      <c r="D250" s="74"/>
      <c r="E250" s="74"/>
      <c r="F250" s="158"/>
      <c r="G250" s="163"/>
    </row>
    <row r="251" spans="1:7">
      <c r="A251" s="156"/>
      <c r="B251" s="160"/>
      <c r="C251" s="73"/>
      <c r="D251" s="74"/>
      <c r="E251" s="74"/>
      <c r="F251" s="158"/>
      <c r="G251" s="163"/>
    </row>
    <row r="252" spans="1:7">
      <c r="A252" s="156"/>
      <c r="B252" s="160"/>
      <c r="C252" s="73"/>
      <c r="D252" s="74"/>
      <c r="E252" s="74"/>
      <c r="F252" s="158"/>
      <c r="G252" s="163"/>
    </row>
    <row r="253" spans="1:7">
      <c r="A253" s="156"/>
      <c r="B253" s="160"/>
      <c r="C253" s="73"/>
      <c r="D253" s="74"/>
      <c r="E253" s="74"/>
      <c r="F253" s="158"/>
      <c r="G253" s="163"/>
    </row>
    <row r="254" spans="1:7">
      <c r="A254" s="156"/>
      <c r="B254" s="160"/>
      <c r="C254" s="73"/>
      <c r="D254" s="74"/>
      <c r="E254" s="74"/>
      <c r="F254" s="158"/>
      <c r="G254" s="163"/>
    </row>
    <row r="255" spans="1:7">
      <c r="A255" s="156"/>
      <c r="B255" s="163"/>
      <c r="C255" s="73"/>
      <c r="D255" s="74"/>
      <c r="E255" s="74"/>
      <c r="F255" s="158"/>
      <c r="G255" s="163"/>
    </row>
    <row r="256" spans="1:7">
      <c r="A256" s="156"/>
      <c r="B256" s="163"/>
      <c r="C256" s="73"/>
      <c r="D256" s="74"/>
      <c r="E256" s="74"/>
      <c r="F256" s="158"/>
      <c r="G256" s="163"/>
    </row>
    <row r="257" spans="1:7">
      <c r="A257" s="156"/>
      <c r="B257" s="163"/>
      <c r="C257" s="73"/>
      <c r="D257" s="74"/>
      <c r="E257" s="74"/>
      <c r="F257" s="158"/>
      <c r="G257" s="163"/>
    </row>
    <row r="258" spans="1:7">
      <c r="A258" s="156"/>
      <c r="B258" s="163"/>
      <c r="C258" s="73"/>
      <c r="D258" s="74"/>
      <c r="E258" s="74"/>
      <c r="F258" s="158"/>
      <c r="G258" s="163"/>
    </row>
    <row r="259" spans="1:7">
      <c r="A259" s="156"/>
      <c r="B259" s="160"/>
      <c r="C259" s="73"/>
      <c r="D259" s="74"/>
      <c r="E259" s="74"/>
      <c r="F259" s="158"/>
      <c r="G259" s="163"/>
    </row>
    <row r="260" spans="1:7">
      <c r="A260" s="156"/>
      <c r="B260" s="160"/>
      <c r="C260" s="73"/>
      <c r="D260" s="74"/>
      <c r="E260" s="74"/>
      <c r="F260" s="158"/>
      <c r="G260" s="163"/>
    </row>
  </sheetData>
  <sheetProtection password="C597" sheet="1" objects="1" scenarios="1" select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D33"/>
  <sheetViews>
    <sheetView workbookViewId="0">
      <pane ySplit="1" topLeftCell="A2" activePane="bottomLeft" state="frozen"/>
      <selection activeCell="K2" sqref="K2:K210"/>
      <selection pane="bottomLeft" activeCell="A2" sqref="A2"/>
    </sheetView>
  </sheetViews>
  <sheetFormatPr baseColWidth="10" defaultColWidth="11.42578125" defaultRowHeight="12.75"/>
  <cols>
    <col min="1" max="1" width="11.42578125" style="14"/>
    <col min="2" max="2" width="11.42578125" style="15"/>
    <col min="3" max="3" width="105.85546875" style="13" customWidth="1"/>
    <col min="4" max="4" width="18" style="14" customWidth="1"/>
    <col min="5" max="16384" width="11.42578125" style="13"/>
  </cols>
  <sheetData>
    <row r="1" spans="1:4" s="4" customFormat="1" ht="24" customHeight="1">
      <c r="A1" s="1" t="s">
        <v>11</v>
      </c>
      <c r="B1" s="2" t="s">
        <v>12</v>
      </c>
      <c r="C1" s="3" t="s">
        <v>13</v>
      </c>
      <c r="D1" s="1" t="s">
        <v>286</v>
      </c>
    </row>
    <row r="2" spans="1:4" s="8" customFormat="1">
      <c r="A2" s="5" t="s">
        <v>14</v>
      </c>
      <c r="B2" s="6">
        <v>44547</v>
      </c>
      <c r="C2" s="7" t="s">
        <v>263</v>
      </c>
      <c r="D2" s="116" t="s">
        <v>285</v>
      </c>
    </row>
    <row r="3" spans="1:4" s="8" customFormat="1">
      <c r="A3" s="5"/>
      <c r="B3" s="6"/>
      <c r="C3" s="7"/>
      <c r="D3" s="116"/>
    </row>
    <row r="4" spans="1:4" s="8" customFormat="1">
      <c r="A4" s="5"/>
      <c r="B4" s="6"/>
      <c r="C4" s="7"/>
      <c r="D4" s="116"/>
    </row>
    <row r="5" spans="1:4" s="8" customFormat="1">
      <c r="A5" s="5"/>
      <c r="B5" s="6"/>
      <c r="C5" s="7"/>
      <c r="D5" s="116"/>
    </row>
    <row r="6" spans="1:4" s="8" customFormat="1">
      <c r="A6" s="5"/>
      <c r="B6" s="6"/>
      <c r="D6" s="116"/>
    </row>
    <row r="7" spans="1:4" s="8" customFormat="1">
      <c r="A7" s="5"/>
      <c r="B7" s="6"/>
      <c r="D7" s="116"/>
    </row>
    <row r="8" spans="1:4" s="8" customFormat="1">
      <c r="A8" s="5"/>
      <c r="B8" s="6"/>
      <c r="D8" s="116"/>
    </row>
    <row r="9" spans="1:4" s="8" customFormat="1">
      <c r="A9" s="116"/>
      <c r="B9" s="117"/>
      <c r="D9" s="116"/>
    </row>
    <row r="10" spans="1:4" s="8" customFormat="1">
      <c r="A10" s="116"/>
      <c r="B10" s="117"/>
      <c r="D10" s="116"/>
    </row>
    <row r="11" spans="1:4" s="8" customFormat="1">
      <c r="A11" s="116"/>
      <c r="B11" s="117"/>
      <c r="D11" s="116"/>
    </row>
    <row r="12" spans="1:4" s="8" customFormat="1">
      <c r="A12" s="116"/>
      <c r="B12" s="117"/>
      <c r="D12" s="116"/>
    </row>
    <row r="13" spans="1:4" s="8" customFormat="1">
      <c r="A13" s="116"/>
      <c r="B13" s="117"/>
      <c r="D13" s="116"/>
    </row>
    <row r="14" spans="1:4" s="8" customFormat="1">
      <c r="A14" s="5"/>
      <c r="B14" s="6"/>
      <c r="C14" s="9"/>
      <c r="D14" s="116"/>
    </row>
    <row r="15" spans="1:4" s="8" customFormat="1">
      <c r="A15" s="5"/>
      <c r="B15" s="6"/>
      <c r="C15" s="9"/>
      <c r="D15" s="116"/>
    </row>
    <row r="16" spans="1:4" s="8" customFormat="1">
      <c r="A16" s="5"/>
      <c r="B16" s="6"/>
      <c r="C16" s="9"/>
      <c r="D16" s="116"/>
    </row>
    <row r="17" spans="1:4" s="8" customFormat="1">
      <c r="A17" s="5"/>
      <c r="B17" s="6"/>
      <c r="C17" s="10"/>
      <c r="D17" s="116"/>
    </row>
    <row r="18" spans="1:4" s="8" customFormat="1">
      <c r="A18" s="5"/>
      <c r="B18" s="6"/>
      <c r="C18" s="10"/>
      <c r="D18" s="116"/>
    </row>
    <row r="19" spans="1:4" s="8" customFormat="1">
      <c r="A19" s="5"/>
      <c r="B19" s="6"/>
      <c r="D19" s="116"/>
    </row>
    <row r="20" spans="1:4" s="8" customFormat="1">
      <c r="A20" s="5"/>
      <c r="B20" s="6"/>
      <c r="D20" s="116"/>
    </row>
    <row r="21" spans="1:4" s="8" customFormat="1">
      <c r="A21" s="5"/>
      <c r="B21" s="6"/>
      <c r="D21" s="116"/>
    </row>
    <row r="22" spans="1:4" s="8" customFormat="1">
      <c r="A22" s="5"/>
      <c r="B22" s="6"/>
      <c r="D22" s="116"/>
    </row>
    <row r="23" spans="1:4" s="8" customFormat="1">
      <c r="A23" s="5"/>
      <c r="B23" s="6"/>
      <c r="D23" s="116"/>
    </row>
    <row r="24" spans="1:4" s="8" customFormat="1">
      <c r="A24" s="5"/>
      <c r="B24" s="6"/>
      <c r="D24" s="116"/>
    </row>
    <row r="25" spans="1:4" s="8" customFormat="1">
      <c r="A25" s="5"/>
      <c r="B25" s="6"/>
      <c r="D25" s="116"/>
    </row>
    <row r="26" spans="1:4" s="8" customFormat="1">
      <c r="A26" s="5"/>
      <c r="B26" s="6"/>
      <c r="D26" s="116"/>
    </row>
    <row r="27" spans="1:4" s="8" customFormat="1">
      <c r="A27" s="5"/>
      <c r="B27" s="6"/>
      <c r="D27" s="116"/>
    </row>
    <row r="28" spans="1:4" s="8" customFormat="1">
      <c r="A28" s="5"/>
      <c r="B28" s="6"/>
      <c r="D28" s="116"/>
    </row>
    <row r="29" spans="1:4" s="8" customFormat="1">
      <c r="A29" s="5"/>
      <c r="B29" s="6"/>
      <c r="C29" s="7"/>
      <c r="D29" s="116"/>
    </row>
    <row r="30" spans="1:4" s="8" customFormat="1">
      <c r="A30" s="5"/>
      <c r="B30" s="6"/>
      <c r="C30" s="7"/>
      <c r="D30" s="116"/>
    </row>
    <row r="31" spans="1:4" s="8" customFormat="1">
      <c r="A31" s="5"/>
      <c r="B31" s="6"/>
      <c r="C31" s="11"/>
      <c r="D31" s="116"/>
    </row>
    <row r="32" spans="1:4">
      <c r="A32" s="5"/>
      <c r="B32" s="6"/>
      <c r="C32" s="12"/>
      <c r="D32" s="116"/>
    </row>
    <row r="33" spans="3:3">
      <c r="C33" s="10"/>
    </row>
  </sheetData>
  <sheetProtection algorithmName="SHA-512" hashValue="cRVHnPLXLtcwTOTBDi6ibjuZI2oxw0D7pTnNWAUaNdnNEJiKgR1eAleXoV1WDvlF6XQrGSoEm8N9gTJ1X9btOA==" saltValue="CeA3hwdbKkGKVqIW8gzmBg==" spinCount="100000" sheet="1" selectLockedCell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92D050"/>
    <pageSetUpPr fitToPage="1"/>
  </sheetPr>
  <dimension ref="A1:Z49"/>
  <sheetViews>
    <sheetView showGridLines="0" tabSelected="1" topLeftCell="B1" zoomScaleNormal="100" workbookViewId="0">
      <selection activeCell="U4" sqref="U4"/>
    </sheetView>
  </sheetViews>
  <sheetFormatPr baseColWidth="10" defaultColWidth="11.42578125" defaultRowHeight="15"/>
  <cols>
    <col min="1" max="1" width="16.140625" style="139" hidden="1" customWidth="1"/>
    <col min="2" max="2" width="23.140625" style="55" bestFit="1" customWidth="1"/>
    <col min="3" max="13" width="5.28515625" style="55" customWidth="1"/>
    <col min="14" max="15" width="4" style="55" customWidth="1"/>
    <col min="16" max="16" width="15.42578125" style="55" customWidth="1"/>
    <col min="17" max="17" width="9.5703125" style="55" hidden="1" customWidth="1"/>
    <col min="18" max="18" width="16.5703125" style="55" customWidth="1"/>
    <col min="19" max="19" width="16.5703125" style="55" hidden="1" customWidth="1"/>
    <col min="20" max="20" width="36" style="55" customWidth="1"/>
    <col min="21" max="21" width="40.5703125" style="55" customWidth="1"/>
    <col min="22" max="22" width="26.42578125" style="55" customWidth="1"/>
    <col min="23" max="23" width="29.28515625" style="55" customWidth="1"/>
    <col min="24" max="24" width="17.140625" style="55" customWidth="1"/>
    <col min="25" max="25" width="24.42578125" style="206" hidden="1" customWidth="1"/>
    <col min="26" max="26" width="17.140625" style="206" hidden="1" customWidth="1"/>
    <col min="27" max="16384" width="11.42578125" style="55"/>
  </cols>
  <sheetData>
    <row r="1" spans="2:22" ht="23.25" customHeight="1">
      <c r="B1" s="111"/>
      <c r="C1" s="94"/>
      <c r="D1" s="94"/>
      <c r="E1" s="94"/>
      <c r="F1" s="94"/>
      <c r="G1" s="94"/>
      <c r="H1" s="94"/>
      <c r="I1" s="94"/>
      <c r="J1" s="94"/>
      <c r="K1" s="94"/>
      <c r="L1" s="110"/>
      <c r="M1" s="70"/>
      <c r="N1" s="70"/>
      <c r="O1" s="70"/>
      <c r="P1" s="70"/>
      <c r="Q1" s="70"/>
      <c r="R1" s="70"/>
      <c r="S1" s="70"/>
      <c r="T1" s="224" t="s">
        <v>278</v>
      </c>
      <c r="U1" s="225"/>
      <c r="V1" s="225"/>
    </row>
    <row r="2" spans="2:22" ht="15.75">
      <c r="M2" s="70"/>
      <c r="N2" s="70"/>
      <c r="O2" s="70"/>
      <c r="P2" s="70"/>
      <c r="Q2" s="70"/>
      <c r="R2" s="70"/>
      <c r="S2" s="70"/>
      <c r="T2" s="231" t="s">
        <v>279</v>
      </c>
      <c r="U2" s="225"/>
      <c r="V2" s="225"/>
    </row>
    <row r="3" spans="2:22" ht="15" customHeight="1">
      <c r="M3" s="70"/>
      <c r="N3" s="70"/>
      <c r="O3" s="70"/>
      <c r="P3" s="70"/>
      <c r="Q3" s="70"/>
      <c r="R3" s="70"/>
      <c r="S3" s="70"/>
      <c r="T3" s="115"/>
      <c r="U3" s="113"/>
      <c r="V3" s="113"/>
    </row>
    <row r="4" spans="2:22" ht="28.5" customHeight="1">
      <c r="M4" s="70"/>
      <c r="N4" s="70"/>
      <c r="O4" s="70"/>
      <c r="P4" s="70"/>
      <c r="Q4" s="70"/>
      <c r="R4" s="70"/>
      <c r="S4" s="70"/>
      <c r="T4" s="142" t="s">
        <v>273</v>
      </c>
      <c r="U4" s="144"/>
      <c r="V4" s="143" t="str">
        <f>IF($U$4="","Bitte Rechtsträger-Nr. eintragen",VLOOKUP($U$4,RT!$A:$E,2,FALSE))</f>
        <v>Bitte Rechtsträger-Nr. eintragen</v>
      </c>
    </row>
    <row r="5" spans="2:22" ht="18" customHeight="1">
      <c r="B5" s="228" t="str">
        <f>M5&amp;" - "&amp;M7</f>
        <v>Ev. Kirchengemeinde Musterhausen - Musterallee 44 - 66666 Musterhausen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2" t="str">
        <f>IF(U4="","Ev. Kirchengemeinde Musterhausen",V4)</f>
        <v>Ev. Kirchengemeinde Musterhausen</v>
      </c>
      <c r="N5" s="222"/>
      <c r="O5" s="222"/>
      <c r="P5" s="222"/>
      <c r="Q5" s="222"/>
      <c r="R5" s="222"/>
      <c r="S5" s="179"/>
      <c r="T5" s="70"/>
      <c r="U5" s="70"/>
      <c r="V5" s="70"/>
    </row>
    <row r="6" spans="2:22">
      <c r="B6" s="223" t="str">
        <f>IF(U6="","Bitte Name des Rechnungsempfängers eintragen",U6)</f>
        <v>Bitte Name des Rechnungsempfängers eintragen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2"/>
      <c r="N6" s="222"/>
      <c r="O6" s="222"/>
      <c r="P6" s="222"/>
      <c r="Q6" s="222"/>
      <c r="R6" s="222"/>
      <c r="S6" s="180"/>
      <c r="T6" s="76" t="s">
        <v>274</v>
      </c>
      <c r="U6" s="145"/>
      <c r="V6" s="78" t="s">
        <v>275</v>
      </c>
    </row>
    <row r="7" spans="2:22">
      <c r="B7" s="223" t="str">
        <f>IF(U7="","Bitte Anschrift des Rechnungsempfängers eintragen",U7)</f>
        <v>Bitte Anschrift des Rechnungsempfängers eintragen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9" t="s">
        <v>281</v>
      </c>
      <c r="N7" s="229"/>
      <c r="O7" s="229"/>
      <c r="P7" s="229"/>
      <c r="Q7" s="229"/>
      <c r="R7" s="229"/>
      <c r="S7" s="180"/>
      <c r="T7" s="76" t="s">
        <v>276</v>
      </c>
      <c r="U7" s="146"/>
      <c r="V7" s="78" t="s">
        <v>6</v>
      </c>
    </row>
    <row r="8" spans="2:22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229" t="s">
        <v>282</v>
      </c>
      <c r="N8" s="229"/>
      <c r="O8" s="229"/>
      <c r="P8" s="229"/>
      <c r="Q8" s="229"/>
      <c r="R8" s="229"/>
      <c r="T8" s="76" t="s">
        <v>277</v>
      </c>
      <c r="U8" s="147"/>
      <c r="V8" s="78" t="s">
        <v>6</v>
      </c>
    </row>
    <row r="9" spans="2:22">
      <c r="B9" s="216" t="str">
        <f>IF(U8="","Bitte PLZ/Ort des Rechnungsempfängers eintragen",U8)</f>
        <v>Bitte PLZ/Ort des Rechnungsempfängers eintragen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S9" s="181"/>
      <c r="T9" s="89"/>
      <c r="U9" s="141"/>
      <c r="V9" s="90"/>
    </row>
    <row r="10" spans="2:22">
      <c r="B10" s="110"/>
      <c r="C10" s="110"/>
      <c r="D10" s="110"/>
      <c r="E10" s="110"/>
      <c r="F10" s="110"/>
      <c r="G10" s="110"/>
      <c r="H10" s="110"/>
      <c r="I10" s="110"/>
      <c r="J10" s="218" t="s">
        <v>283</v>
      </c>
      <c r="K10" s="218"/>
      <c r="L10" s="218"/>
      <c r="M10" s="218"/>
      <c r="N10" s="218"/>
      <c r="O10" s="218"/>
      <c r="P10" s="218"/>
      <c r="Q10" s="218"/>
      <c r="R10" s="218"/>
      <c r="S10" s="181"/>
      <c r="T10" s="77" t="s">
        <v>259</v>
      </c>
      <c r="U10" s="148"/>
      <c r="V10" s="78" t="s">
        <v>250</v>
      </c>
    </row>
    <row r="11" spans="2:22">
      <c r="B11" s="110"/>
      <c r="C11" s="110"/>
      <c r="D11" s="110"/>
      <c r="E11" s="110"/>
      <c r="F11" s="110"/>
      <c r="G11" s="110"/>
      <c r="H11" s="110"/>
      <c r="I11" s="110"/>
      <c r="J11" s="218" t="s">
        <v>284</v>
      </c>
      <c r="K11" s="218"/>
      <c r="L11" s="218"/>
      <c r="M11" s="218"/>
      <c r="N11" s="218"/>
      <c r="O11" s="218"/>
      <c r="P11" s="218"/>
      <c r="Q11" s="218"/>
      <c r="R11" s="218"/>
      <c r="S11" s="70"/>
      <c r="T11" s="77" t="s">
        <v>5</v>
      </c>
      <c r="U11" s="149"/>
      <c r="V11" s="78" t="s">
        <v>248</v>
      </c>
    </row>
    <row r="12" spans="2:22" ht="15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95"/>
      <c r="N12" s="70"/>
      <c r="O12" s="95"/>
      <c r="P12" s="95"/>
      <c r="Q12" s="95"/>
      <c r="R12" s="96"/>
      <c r="S12" s="96"/>
      <c r="T12" s="77" t="s">
        <v>0</v>
      </c>
      <c r="U12" s="150"/>
      <c r="V12" s="78" t="s">
        <v>6</v>
      </c>
    </row>
    <row r="13" spans="2:22" ht="15" customHeight="1">
      <c r="C13" s="100"/>
      <c r="D13" s="100"/>
      <c r="E13" s="100"/>
      <c r="F13" s="100"/>
      <c r="G13" s="100"/>
      <c r="H13" s="100"/>
      <c r="I13" s="100"/>
      <c r="J13" s="100"/>
      <c r="K13" s="100"/>
      <c r="P13" s="95"/>
      <c r="Q13" s="95"/>
      <c r="T13" s="77" t="s">
        <v>7</v>
      </c>
      <c r="U13" s="151"/>
      <c r="V13" s="78" t="s">
        <v>6</v>
      </c>
    </row>
    <row r="14" spans="2:22" ht="21.75" customHeight="1">
      <c r="B14" s="217" t="s">
        <v>1</v>
      </c>
      <c r="C14" s="217"/>
      <c r="D14" s="217"/>
      <c r="E14" s="217"/>
      <c r="F14" s="217"/>
      <c r="G14" s="217"/>
      <c r="H14" s="100"/>
      <c r="I14" s="100"/>
      <c r="J14" s="100"/>
      <c r="K14" s="100"/>
      <c r="L14" s="107"/>
      <c r="M14" s="98"/>
      <c r="N14" s="98"/>
      <c r="O14" s="98" t="s">
        <v>7</v>
      </c>
      <c r="P14" s="97"/>
      <c r="Q14" s="97"/>
      <c r="R14" s="109" t="str">
        <f>IF(U13="","",U13)</f>
        <v/>
      </c>
      <c r="S14" s="109"/>
      <c r="T14" s="77"/>
      <c r="U14" s="105"/>
      <c r="V14" s="90"/>
    </row>
    <row r="15" spans="2:22" ht="15" customHeight="1">
      <c r="B15" s="217"/>
      <c r="C15" s="217"/>
      <c r="D15" s="217"/>
      <c r="E15" s="217"/>
      <c r="F15" s="217"/>
      <c r="G15" s="217"/>
      <c r="H15" s="112"/>
      <c r="I15" s="112"/>
      <c r="J15" s="112"/>
      <c r="K15" s="112"/>
      <c r="L15" s="230" t="s">
        <v>0</v>
      </c>
      <c r="M15" s="230"/>
      <c r="N15" s="230"/>
      <c r="O15" s="230"/>
      <c r="P15" s="97"/>
      <c r="Q15" s="97"/>
      <c r="R15" s="108" t="str">
        <f>IF(U12="","",U12)</f>
        <v/>
      </c>
      <c r="S15" s="108"/>
      <c r="T15" s="77"/>
      <c r="U15" s="105"/>
      <c r="V15" s="90"/>
    </row>
    <row r="16" spans="2:22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6" t="s">
        <v>4</v>
      </c>
      <c r="U16" s="152"/>
      <c r="V16" s="106" t="s">
        <v>272</v>
      </c>
    </row>
    <row r="17" spans="1:26">
      <c r="B17" s="99" t="str">
        <f>IF(U16="Lieferung","Lieferdatum",IF(T18="Leistungsdatum","Leistungsdatum",IF(U17="Leistung über mehrere Tage","Leistungszeitraum","")))</f>
        <v/>
      </c>
      <c r="C17" s="212" t="str">
        <f>IF(B17&lt;&gt;"Leistungszeitraum","","vom")</f>
        <v/>
      </c>
      <c r="D17" s="232" t="str">
        <f>IF(U18="","",U18)</f>
        <v/>
      </c>
      <c r="E17" s="232"/>
      <c r="F17" s="99" t="str">
        <f>IF(B17&lt;&gt;"Leistungszeitraum","","bis")</f>
        <v/>
      </c>
      <c r="G17" s="232" t="str">
        <f>IF(F17="","",U19)</f>
        <v/>
      </c>
      <c r="H17" s="232"/>
      <c r="I17" s="232" t="str">
        <f>IF(H17="","",U19)</f>
        <v/>
      </c>
      <c r="J17" s="232"/>
      <c r="K17" s="99"/>
      <c r="L17" s="110"/>
      <c r="M17" s="70"/>
      <c r="N17" s="70"/>
      <c r="O17" s="70"/>
      <c r="P17" s="70"/>
      <c r="Q17" s="70"/>
      <c r="R17" s="70"/>
      <c r="S17" s="70"/>
      <c r="T17" s="77" t="s">
        <v>249</v>
      </c>
      <c r="U17" s="153"/>
      <c r="V17" s="106" t="s">
        <v>272</v>
      </c>
    </row>
    <row r="18" spans="1:26"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70"/>
      <c r="N18" s="70"/>
      <c r="O18" s="70"/>
      <c r="P18" s="70"/>
      <c r="Q18" s="70"/>
      <c r="R18" s="70"/>
      <c r="S18" s="70"/>
      <c r="T18" s="77" t="str">
        <f>IF(U16="Lieferung","Lieferdatum",IF(U17="Leistung an einem Tag/Lieferung","Leistungsdatum","Leistungszeitraum Beginn"))</f>
        <v>Leistungszeitraum Beginn</v>
      </c>
      <c r="U18" s="154"/>
      <c r="V18" s="78" t="s">
        <v>6</v>
      </c>
    </row>
    <row r="19" spans="1:26">
      <c r="B19" s="223" t="str">
        <f>IF(U16="Lieferung","Hiermit erlauben wir uns, Ihnen folgende Lieferung in Rechnung zu stellen:",IF(U16="sonstige Leistung","Hiermit erlauben wir uns, Ihnen folgende Leistung in Rechnung zu stellen:",""))</f>
        <v/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169"/>
      <c r="T19" s="77" t="str">
        <f>IF(U17="Leistung an einem Tag/Lieferung","","Leistungszeitraum Ende")</f>
        <v>Leistungszeitraum Ende</v>
      </c>
      <c r="U19" s="154"/>
      <c r="V19" s="78" t="str">
        <f>IF(T19="","","Bitte eintragen")</f>
        <v>Bitte eintragen</v>
      </c>
    </row>
    <row r="20" spans="1:26"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spans="1:26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1:26" ht="27.75" customHeight="1">
      <c r="B22" s="114" t="s">
        <v>3</v>
      </c>
      <c r="C22" s="227" t="s">
        <v>2</v>
      </c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6" t="s">
        <v>258</v>
      </c>
      <c r="O22" s="226"/>
      <c r="P22" s="114" t="s">
        <v>296</v>
      </c>
      <c r="Q22" s="167" t="s">
        <v>264</v>
      </c>
      <c r="R22" s="102" t="s">
        <v>297</v>
      </c>
      <c r="S22" s="102"/>
      <c r="T22" s="91" t="s">
        <v>252</v>
      </c>
      <c r="U22" s="91" t="s">
        <v>32</v>
      </c>
      <c r="V22" s="91" t="s">
        <v>247</v>
      </c>
      <c r="W22" s="92" t="s">
        <v>280</v>
      </c>
      <c r="X22" s="93" t="s">
        <v>253</v>
      </c>
      <c r="Y22" s="207" t="s">
        <v>251</v>
      </c>
    </row>
    <row r="23" spans="1:26" ht="18.75" customHeight="1">
      <c r="A23" s="140" t="e">
        <f t="shared" ref="A23:A35" si="0">IF(B23="","",Z23*1)</f>
        <v>#VALUE!</v>
      </c>
      <c r="B23" s="103">
        <v>1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1"/>
      <c r="O23" s="221"/>
      <c r="P23" s="104"/>
      <c r="Q23" s="174" t="str">
        <f>IF(T23="","",VLOOKUP(T23,Tabelle1!A$1:B$4,2,FALSE))</f>
        <v/>
      </c>
      <c r="R23" s="59" t="str">
        <f t="shared" ref="R23:R35" si="1">IF(P23="","",N23*P23)</f>
        <v/>
      </c>
      <c r="S23" s="59" t="str">
        <f>IF(R23="","",IF(Q23="n.stb.",R23,R23))</f>
        <v/>
      </c>
      <c r="T23" s="101"/>
      <c r="U23" s="84"/>
      <c r="V23" s="86"/>
      <c r="W23" s="85"/>
      <c r="X23" s="87"/>
      <c r="Y23" s="208" t="str">
        <f>IF(T23="","",CONCATENATE(LEFT(U23,6),V23,X23))</f>
        <v/>
      </c>
      <c r="Z23" s="209" t="str">
        <f>IF(Y23="","",IF(RIGHT(V23,1)="u",CONCATENATE(VLOOKUP(T23,Tabelle1!A:C,3,FALSE),VLOOKUP(U23,Sachkonten!I:J,2,FALSE),LEFT(V23,LEN(V23)-1),1,IF(X23="Ja",11,12)),CONCATENATE(VLOOKUP('Rechnung USt'!T23,Tabelle1!A:C,3,FALSE),VLOOKUP(U23,Sachkonten!I:J,2,FALSE),V23,IF(X23="Ja",11,12)))*1)</f>
        <v/>
      </c>
    </row>
    <row r="24" spans="1:26" ht="18.75" customHeight="1">
      <c r="A24" s="140" t="str">
        <f t="shared" si="0"/>
        <v/>
      </c>
      <c r="B24" s="103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1"/>
      <c r="O24" s="221"/>
      <c r="P24" s="104"/>
      <c r="Q24" s="174" t="str">
        <f>IF(T24="","",VLOOKUP(T24,Tabelle1!A$1:B$4,2,FALSE))</f>
        <v/>
      </c>
      <c r="R24" s="59" t="str">
        <f t="shared" si="1"/>
        <v/>
      </c>
      <c r="S24" s="59" t="str">
        <f t="shared" ref="S24:S35" si="2">IF(R24="","",IF(Q24="n.stb.",R24,R24))</f>
        <v/>
      </c>
      <c r="T24" s="101"/>
      <c r="U24" s="84"/>
      <c r="V24" s="86"/>
      <c r="W24" s="85"/>
      <c r="X24" s="87"/>
      <c r="Y24" s="208" t="str">
        <f t="shared" ref="Y24:Y34" si="3">IF(T24="","",CONCATENATE(LEFT(U24,6),V24,X24))</f>
        <v/>
      </c>
      <c r="Z24" s="209" t="str">
        <f>IF(Y24="","",IF(RIGHT(V24,1)="u",CONCATENATE(VLOOKUP(T24,Tabelle1!A:C,3,FALSE),VLOOKUP(U24,Sachkonten!I:J,2,FALSE),LEFT(V24,LEN(V24)-1),1,IF(X24="Ja",11,13)),CONCATENATE(VLOOKUP('Rechnung USt'!T24,Tabelle1!A:C,3,FALSE),VLOOKUP(U24,Sachkonten!I:J,2,FALSE),V24,IF(X24="Ja",11,13)))*1)</f>
        <v/>
      </c>
    </row>
    <row r="25" spans="1:26" ht="18.75" customHeight="1">
      <c r="A25" s="140" t="str">
        <f t="shared" si="0"/>
        <v/>
      </c>
      <c r="B25" s="103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1"/>
      <c r="O25" s="221"/>
      <c r="P25" s="104"/>
      <c r="Q25" s="174" t="str">
        <f>IF(T25="","",VLOOKUP(T25,Tabelle1!A$1:B$4,2,FALSE))</f>
        <v/>
      </c>
      <c r="R25" s="59" t="str">
        <f t="shared" si="1"/>
        <v/>
      </c>
      <c r="S25" s="59" t="str">
        <f t="shared" si="2"/>
        <v/>
      </c>
      <c r="T25" s="101"/>
      <c r="U25" s="84"/>
      <c r="V25" s="86"/>
      <c r="W25" s="85"/>
      <c r="X25" s="87"/>
      <c r="Y25" s="208" t="str">
        <f t="shared" si="3"/>
        <v/>
      </c>
      <c r="Z25" s="209" t="str">
        <f>IF(Y25="","",IF(RIGHT(V25,1)="u",CONCATENATE(VLOOKUP(T25,Tabelle1!A:C,3,FALSE),VLOOKUP(U25,Sachkonten!I:J,2,FALSE),LEFT(V25,LEN(V25)-1),1,IF(X25="Ja",11,14)),CONCATENATE(VLOOKUP('Rechnung USt'!T25,Tabelle1!A:C,3,FALSE),VLOOKUP(U25,Sachkonten!I:J,2,FALSE),V25,IF(X25="Ja",11,14)))*1)</f>
        <v/>
      </c>
    </row>
    <row r="26" spans="1:26" ht="18.75" customHeight="1">
      <c r="A26" s="140" t="str">
        <f t="shared" si="0"/>
        <v/>
      </c>
      <c r="B26" s="103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1"/>
      <c r="O26" s="221"/>
      <c r="P26" s="104"/>
      <c r="Q26" s="174" t="str">
        <f>IF(T26="","",VLOOKUP(T26,Tabelle1!A$1:B$4,2,FALSE))</f>
        <v/>
      </c>
      <c r="R26" s="59" t="str">
        <f t="shared" si="1"/>
        <v/>
      </c>
      <c r="S26" s="59" t="str">
        <f t="shared" si="2"/>
        <v/>
      </c>
      <c r="T26" s="101"/>
      <c r="U26" s="84"/>
      <c r="V26" s="88"/>
      <c r="W26" s="85"/>
      <c r="X26" s="87"/>
      <c r="Y26" s="208" t="str">
        <f t="shared" si="3"/>
        <v/>
      </c>
      <c r="Z26" s="209" t="str">
        <f>IF(Y26="","",IF(RIGHT(V26,1)="u",CONCATENATE(VLOOKUP(T26,Tabelle1!A:C,3,FALSE),VLOOKUP(U26,Sachkonten!I:J,2,FALSE),LEFT(V26,LEN(V26)-1),1,IF(X26="Ja",11,15)),CONCATENATE(VLOOKUP('Rechnung USt'!T26,Tabelle1!A:C,3,FALSE),VLOOKUP(U26,Sachkonten!I:J,2,FALSE),V26,IF(X26="Ja",11,15)))*1)</f>
        <v/>
      </c>
    </row>
    <row r="27" spans="1:26" ht="18.75" customHeight="1">
      <c r="A27" s="140" t="str">
        <f t="shared" si="0"/>
        <v/>
      </c>
      <c r="B27" s="103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1"/>
      <c r="O27" s="221"/>
      <c r="P27" s="104"/>
      <c r="Q27" s="174" t="str">
        <f>IF(T27="","",VLOOKUP(T27,Tabelle1!A$1:B$4,2,FALSE))</f>
        <v/>
      </c>
      <c r="R27" s="59" t="str">
        <f t="shared" si="1"/>
        <v/>
      </c>
      <c r="S27" s="59" t="str">
        <f t="shared" si="2"/>
        <v/>
      </c>
      <c r="T27" s="101"/>
      <c r="U27" s="84"/>
      <c r="V27" s="88"/>
      <c r="W27" s="85"/>
      <c r="X27" s="87"/>
      <c r="Y27" s="208" t="str">
        <f t="shared" si="3"/>
        <v/>
      </c>
      <c r="Z27" s="209" t="str">
        <f>IF(Y27="","",IF(RIGHT(V27,1)="u",CONCATENATE(VLOOKUP(T27,Tabelle1!A:C,3,FALSE),VLOOKUP(U27,Sachkonten!I:J,2,FALSE),LEFT(V27,LEN(V27)-1),1,IF(X27="Ja",11,16)),CONCATENATE(VLOOKUP('Rechnung USt'!T27,Tabelle1!A:C,3,FALSE),VLOOKUP(U27,Sachkonten!I:J,2,FALSE),V27,IF(X27="Ja",11,16)))*1)</f>
        <v/>
      </c>
    </row>
    <row r="28" spans="1:26" ht="18.75" customHeight="1">
      <c r="A28" s="140" t="str">
        <f t="shared" si="0"/>
        <v/>
      </c>
      <c r="B28" s="103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1"/>
      <c r="O28" s="221"/>
      <c r="P28" s="104"/>
      <c r="Q28" s="174" t="str">
        <f>IF(T28="","",VLOOKUP(T28,Tabelle1!A$1:B$4,2,FALSE))</f>
        <v/>
      </c>
      <c r="R28" s="59" t="str">
        <f t="shared" si="1"/>
        <v/>
      </c>
      <c r="S28" s="59" t="str">
        <f t="shared" si="2"/>
        <v/>
      </c>
      <c r="T28" s="101"/>
      <c r="U28" s="84"/>
      <c r="V28" s="88"/>
      <c r="W28" s="85"/>
      <c r="X28" s="87"/>
      <c r="Y28" s="208" t="str">
        <f t="shared" si="3"/>
        <v/>
      </c>
      <c r="Z28" s="209" t="str">
        <f>IF(Y28="","",IF(RIGHT(V28,1)="u",CONCATENATE(VLOOKUP(T28,Tabelle1!A:C,3,FALSE),VLOOKUP(U28,Sachkonten!I:J,2,FALSE),LEFT(V28,LEN(V28)-1),1,IF(X28="Ja",11,17)),CONCATENATE(VLOOKUP('Rechnung USt'!T28,Tabelle1!A:C,3,FALSE),VLOOKUP(U28,Sachkonten!I:J,2,FALSE),V28,IF(X28="Ja",11,17)))*1)</f>
        <v/>
      </c>
    </row>
    <row r="29" spans="1:26" ht="18.75" customHeight="1">
      <c r="A29" s="140" t="str">
        <f t="shared" si="0"/>
        <v/>
      </c>
      <c r="B29" s="103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1"/>
      <c r="O29" s="221"/>
      <c r="P29" s="104"/>
      <c r="Q29" s="174" t="str">
        <f>IF(T29="","",VLOOKUP(T29,Tabelle1!A$1:B$4,2,FALSE))</f>
        <v/>
      </c>
      <c r="R29" s="59" t="str">
        <f t="shared" si="1"/>
        <v/>
      </c>
      <c r="S29" s="59" t="str">
        <f t="shared" si="2"/>
        <v/>
      </c>
      <c r="T29" s="101"/>
      <c r="U29" s="84"/>
      <c r="V29" s="88"/>
      <c r="W29" s="85"/>
      <c r="X29" s="87"/>
      <c r="Y29" s="208" t="str">
        <f t="shared" si="3"/>
        <v/>
      </c>
      <c r="Z29" s="209" t="str">
        <f>IF(Y29="","",IF(RIGHT(V29,1)="u",CONCATENATE(VLOOKUP(T29,Tabelle1!A:C,3,FALSE),VLOOKUP(U29,Sachkonten!I:J,2,FALSE),LEFT(V29,LEN(V29)-1),1,IF(X29="Ja",11,18)),CONCATENATE(VLOOKUP('Rechnung USt'!T29,Tabelle1!A:C,3,FALSE),VLOOKUP(U29,Sachkonten!I:J,2,FALSE),V29,IF(X29="Ja",11,18)))*1)</f>
        <v/>
      </c>
    </row>
    <row r="30" spans="1:26" ht="18.75" customHeight="1">
      <c r="A30" s="140" t="str">
        <f t="shared" si="0"/>
        <v/>
      </c>
      <c r="B30" s="103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1"/>
      <c r="O30" s="221"/>
      <c r="P30" s="104"/>
      <c r="Q30" s="174" t="str">
        <f>IF(T30="","",VLOOKUP(T30,Tabelle1!A$1:B$4,2,FALSE))</f>
        <v/>
      </c>
      <c r="R30" s="59" t="str">
        <f t="shared" si="1"/>
        <v/>
      </c>
      <c r="S30" s="59" t="str">
        <f t="shared" si="2"/>
        <v/>
      </c>
      <c r="T30" s="101"/>
      <c r="U30" s="84"/>
      <c r="V30" s="88"/>
      <c r="W30" s="85"/>
      <c r="X30" s="87"/>
      <c r="Y30" s="208" t="str">
        <f t="shared" si="3"/>
        <v/>
      </c>
      <c r="Z30" s="209" t="str">
        <f>IF(Y30="","",IF(RIGHT(V30,1)="u",CONCATENATE(VLOOKUP(T30,Tabelle1!A:C,3,FALSE),VLOOKUP(U30,Sachkonten!I:J,2,FALSE),LEFT(V30,LEN(V30)-1),1,IF(X30="Ja",11,19)),CONCATENATE(VLOOKUP('Rechnung USt'!T30,Tabelle1!A:C,3,FALSE),VLOOKUP(U30,Sachkonten!I:J,2,FALSE),V30,IF(X30="Ja",11,19)))*1)</f>
        <v/>
      </c>
    </row>
    <row r="31" spans="1:26" ht="18.75" customHeight="1">
      <c r="A31" s="140" t="str">
        <f t="shared" si="0"/>
        <v/>
      </c>
      <c r="B31" s="103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1"/>
      <c r="O31" s="221"/>
      <c r="P31" s="104"/>
      <c r="Q31" s="174" t="str">
        <f>IF(T31="","",VLOOKUP(T31,Tabelle1!A$1:B$4,2,FALSE))</f>
        <v/>
      </c>
      <c r="R31" s="59" t="str">
        <f t="shared" si="1"/>
        <v/>
      </c>
      <c r="S31" s="59" t="str">
        <f t="shared" si="2"/>
        <v/>
      </c>
      <c r="T31" s="101"/>
      <c r="U31" s="84"/>
      <c r="V31" s="88"/>
      <c r="W31" s="85"/>
      <c r="X31" s="87"/>
      <c r="Y31" s="208" t="str">
        <f t="shared" si="3"/>
        <v/>
      </c>
      <c r="Z31" s="209" t="str">
        <f>IF(Y31="","",IF(RIGHT(V31,1)="u",CONCATENATE(VLOOKUP(T31,Tabelle1!A:C,3,FALSE),VLOOKUP(U31,Sachkonten!I:J,2,FALSE),LEFT(V31,LEN(V31)-1),1,IF(X31="Ja",11,20)),CONCATENATE(VLOOKUP('Rechnung USt'!T31,Tabelle1!A:C,3,FALSE),VLOOKUP(U31,Sachkonten!I:J,2,FALSE),V31,IF(X31="Ja",11,20)))*1)</f>
        <v/>
      </c>
    </row>
    <row r="32" spans="1:26" ht="18.75" customHeight="1">
      <c r="A32" s="140" t="str">
        <f t="shared" si="0"/>
        <v/>
      </c>
      <c r="B32" s="103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1"/>
      <c r="O32" s="221"/>
      <c r="P32" s="104"/>
      <c r="Q32" s="174" t="str">
        <f>IF(T32="","",VLOOKUP(T32,Tabelle1!A$1:B$4,2,FALSE))</f>
        <v/>
      </c>
      <c r="R32" s="59" t="str">
        <f t="shared" si="1"/>
        <v/>
      </c>
      <c r="S32" s="59" t="str">
        <f t="shared" si="2"/>
        <v/>
      </c>
      <c r="T32" s="101"/>
      <c r="U32" s="84"/>
      <c r="V32" s="88"/>
      <c r="W32" s="85"/>
      <c r="X32" s="87"/>
      <c r="Y32" s="208" t="str">
        <f t="shared" si="3"/>
        <v/>
      </c>
      <c r="Z32" s="209" t="str">
        <f>IF(Y32="","",IF(RIGHT(V32,1)="u",CONCATENATE(VLOOKUP(T32,Tabelle1!A:C,3,FALSE),VLOOKUP(U32,Sachkonten!I:J,2,FALSE),LEFT(V32,LEN(V32)-1),1,IF(X32="Ja",11,21)),CONCATENATE(VLOOKUP('Rechnung USt'!T32,Tabelle1!A:C,3,FALSE),VLOOKUP(U32,Sachkonten!I:J,2,FALSE),V32,IF(X32="Ja",11,21)))*1)</f>
        <v/>
      </c>
    </row>
    <row r="33" spans="1:26" ht="18.75" customHeight="1">
      <c r="A33" s="140" t="str">
        <f t="shared" si="0"/>
        <v/>
      </c>
      <c r="B33" s="103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1"/>
      <c r="O33" s="221"/>
      <c r="P33" s="104"/>
      <c r="Q33" s="174" t="str">
        <f>IF(T33="","",VLOOKUP(T33,Tabelle1!A$1:B$4,2,FALSE))</f>
        <v/>
      </c>
      <c r="R33" s="59" t="str">
        <f t="shared" si="1"/>
        <v/>
      </c>
      <c r="S33" s="59" t="str">
        <f t="shared" si="2"/>
        <v/>
      </c>
      <c r="T33" s="101"/>
      <c r="U33" s="84"/>
      <c r="V33" s="88"/>
      <c r="W33" s="85"/>
      <c r="X33" s="87"/>
      <c r="Y33" s="208" t="str">
        <f t="shared" si="3"/>
        <v/>
      </c>
      <c r="Z33" s="209" t="str">
        <f>IF(Y33="","",IF(RIGHT(V33,1)="u",CONCATENATE(VLOOKUP(T33,Tabelle1!A:C,3,FALSE),VLOOKUP(U33,Sachkonten!I:J,2,FALSE),LEFT(V33,LEN(V33)-1),1,IF(X33="Ja",11,22)),CONCATENATE(VLOOKUP('Rechnung USt'!T33,Tabelle1!A:C,3,FALSE),VLOOKUP(U33,Sachkonten!I:J,2,FALSE),V33,IF(X33="Ja",11,22)))*1)</f>
        <v/>
      </c>
    </row>
    <row r="34" spans="1:26" ht="18.75" customHeight="1">
      <c r="A34" s="140" t="str">
        <f t="shared" si="0"/>
        <v/>
      </c>
      <c r="B34" s="103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1"/>
      <c r="O34" s="221"/>
      <c r="P34" s="104"/>
      <c r="Q34" s="174" t="str">
        <f>IF(T34="","",VLOOKUP(T34,Tabelle1!A$1:B$4,2,FALSE))</f>
        <v/>
      </c>
      <c r="R34" s="59" t="str">
        <f t="shared" si="1"/>
        <v/>
      </c>
      <c r="S34" s="59" t="str">
        <f t="shared" si="2"/>
        <v/>
      </c>
      <c r="T34" s="101"/>
      <c r="U34" s="84"/>
      <c r="V34" s="88"/>
      <c r="W34" s="85"/>
      <c r="X34" s="87"/>
      <c r="Y34" s="208" t="str">
        <f t="shared" si="3"/>
        <v/>
      </c>
      <c r="Z34" s="209" t="str">
        <f>IF(Y34="","",IF(RIGHT(V34,1)="u",CONCATENATE(VLOOKUP(T34,Tabelle1!A:C,3,FALSE),VLOOKUP(U34,Sachkonten!I:J,2,FALSE),LEFT(V34,LEN(V34)-1),1,IF(X34="Ja",11,23)),CONCATENATE(VLOOKUP('Rechnung USt'!T34,Tabelle1!A:C,3,FALSE),VLOOKUP(U34,Sachkonten!I:J,2,FALSE),V34,IF(X34="Ja",11,23)))*1)</f>
        <v/>
      </c>
    </row>
    <row r="35" spans="1:26" ht="18.75" customHeight="1">
      <c r="A35" s="140" t="str">
        <f t="shared" si="0"/>
        <v/>
      </c>
      <c r="B35" s="103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1"/>
      <c r="O35" s="221"/>
      <c r="P35" s="104"/>
      <c r="Q35" s="174" t="str">
        <f>IF(T35="","",VLOOKUP(T35,Tabelle1!A$1:B$4,2,FALSE))</f>
        <v/>
      </c>
      <c r="R35" s="59" t="str">
        <f t="shared" si="1"/>
        <v/>
      </c>
      <c r="S35" s="59" t="str">
        <f t="shared" si="2"/>
        <v/>
      </c>
      <c r="T35" s="101"/>
      <c r="U35" s="84"/>
      <c r="V35" s="88"/>
      <c r="W35" s="85"/>
      <c r="X35" s="87"/>
      <c r="Y35" s="208" t="str">
        <f>IF(T35="","",CONCATENATE(LEFT(U35,6),V35,X35))</f>
        <v/>
      </c>
      <c r="Z35" s="209" t="str">
        <f>IF(Y35="","",IF(RIGHT(V35,1)="u",CONCATENATE(VLOOKUP(T35,Tabelle1!A:C,3,FALSE),VLOOKUP(U35,Sachkonten!I:J,2,FALSE),LEFT(V35,LEN(V35)-1),1,IF(X35="Ja",11,24)),CONCATENATE(VLOOKUP('Rechnung USt'!T35,Tabelle1!A:C,3,FALSE),VLOOKUP(U35,Sachkonten!I:J,2,FALSE),V35,IF(X35="Ja",11,24)))*1)</f>
        <v/>
      </c>
    </row>
    <row r="36" spans="1:26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7"/>
      <c r="M36" s="58"/>
      <c r="N36" s="60"/>
      <c r="O36" s="171"/>
      <c r="P36" s="171" t="s">
        <v>10</v>
      </c>
      <c r="Q36" s="172"/>
      <c r="R36" s="170">
        <f>SUM(R23:R35)</f>
        <v>0</v>
      </c>
      <c r="S36" s="170"/>
      <c r="T36" s="61"/>
      <c r="U36" s="71"/>
      <c r="V36" s="72"/>
    </row>
    <row r="37" spans="1:26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7"/>
      <c r="M37" s="58"/>
      <c r="N37" s="60"/>
      <c r="O37" s="171"/>
      <c r="P37" s="171"/>
      <c r="Q37" s="172"/>
      <c r="R37" s="170"/>
      <c r="S37" s="170"/>
      <c r="T37" s="61"/>
      <c r="U37" s="71"/>
      <c r="V37" s="72"/>
    </row>
    <row r="38" spans="1:26" ht="15" customHeight="1">
      <c r="B38" s="234" t="str">
        <f>CONCATENATE("Bitte überweisen Sie den Rechnungsbetrag in Höhe von ",TEXT(R36,"#.##0,00")," Euro innerhalb von ",IF(U11="","XX",U11)," Tagen ab Rechnungsdatum unter Angabe der Rechnungsnummer an die unten genannte Bankverbindung.")</f>
        <v>Bitte überweisen Sie den Rechnungsbetrag in Höhe von 0,00 Euro innerhalb von XX Tagen ab Rechnungsdatum unter Angabe der Rechnungsnummer an die unten genannte Bankverbindung.</v>
      </c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60"/>
      <c r="Q38" s="60"/>
      <c r="R38" s="60"/>
      <c r="S38" s="168"/>
    </row>
    <row r="39" spans="1:26"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60"/>
      <c r="Q39" s="60"/>
      <c r="R39" s="60"/>
      <c r="S39" s="168"/>
    </row>
    <row r="40" spans="1:26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</row>
    <row r="41" spans="1:26">
      <c r="B41" s="211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26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26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26">
      <c r="B44" s="70" t="s">
        <v>8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8" spans="1:26">
      <c r="B48" s="219" t="str">
        <f>IF(M5="","",M5)</f>
        <v>Ev. Kirchengemeinde Musterhausen</v>
      </c>
      <c r="C48" s="219"/>
      <c r="D48" s="219"/>
      <c r="E48" s="219"/>
      <c r="F48" s="219"/>
      <c r="G48" s="219"/>
      <c r="H48" s="219"/>
      <c r="I48" s="219"/>
      <c r="J48" s="219"/>
    </row>
    <row r="49" spans="2:10">
      <c r="B49" s="233" t="str">
        <f>IF(U10="","",U10)</f>
        <v/>
      </c>
      <c r="C49" s="233"/>
      <c r="D49" s="233"/>
      <c r="E49" s="233"/>
      <c r="F49" s="233"/>
      <c r="G49" s="233"/>
      <c r="H49" s="233"/>
      <c r="I49" s="233"/>
      <c r="J49" s="233"/>
    </row>
  </sheetData>
  <sheetProtection password="C597" sheet="1" objects="1" scenarios="1" selectLockedCells="1"/>
  <mergeCells count="48">
    <mergeCell ref="B49:J49"/>
    <mergeCell ref="N23:O23"/>
    <mergeCell ref="N24:O24"/>
    <mergeCell ref="N25:O25"/>
    <mergeCell ref="N26:O26"/>
    <mergeCell ref="C33:M33"/>
    <mergeCell ref="C34:M34"/>
    <mergeCell ref="C35:M35"/>
    <mergeCell ref="N32:O32"/>
    <mergeCell ref="N27:O27"/>
    <mergeCell ref="N28:O28"/>
    <mergeCell ref="N29:O29"/>
    <mergeCell ref="N30:O30"/>
    <mergeCell ref="B38:O39"/>
    <mergeCell ref="C29:M29"/>
    <mergeCell ref="N34:O34"/>
    <mergeCell ref="C31:M31"/>
    <mergeCell ref="M5:R6"/>
    <mergeCell ref="B6:L6"/>
    <mergeCell ref="T1:V1"/>
    <mergeCell ref="N22:O22"/>
    <mergeCell ref="C22:M22"/>
    <mergeCell ref="B5:L5"/>
    <mergeCell ref="M7:R7"/>
    <mergeCell ref="L15:O15"/>
    <mergeCell ref="T2:V2"/>
    <mergeCell ref="I17:J17"/>
    <mergeCell ref="M8:R8"/>
    <mergeCell ref="D17:E17"/>
    <mergeCell ref="G17:H17"/>
    <mergeCell ref="B7:L7"/>
    <mergeCell ref="B19:R19"/>
    <mergeCell ref="B9:L9"/>
    <mergeCell ref="B14:G15"/>
    <mergeCell ref="J10:R10"/>
    <mergeCell ref="J11:R11"/>
    <mergeCell ref="B48:J48"/>
    <mergeCell ref="C32:M32"/>
    <mergeCell ref="C23:M23"/>
    <mergeCell ref="C30:M30"/>
    <mergeCell ref="N31:O31"/>
    <mergeCell ref="N33:O33"/>
    <mergeCell ref="N35:O35"/>
    <mergeCell ref="C24:M24"/>
    <mergeCell ref="C25:M25"/>
    <mergeCell ref="C26:M26"/>
    <mergeCell ref="C27:M27"/>
    <mergeCell ref="C28:M28"/>
  </mergeCells>
  <dataValidations count="9">
    <dataValidation type="list" allowBlank="1" showInputMessage="1" showErrorMessage="1" sqref="U23:U35">
      <formula1>INDIRECT(T23)</formula1>
    </dataValidation>
    <dataValidation type="list" allowBlank="1" showInputMessage="1" showErrorMessage="1" sqref="U16">
      <formula1>"Lieferung,sonstige Leistung"</formula1>
    </dataValidation>
    <dataValidation type="list" allowBlank="1" showInputMessage="1" showErrorMessage="1" sqref="U17">
      <formula1>"Leistung an einem Tag/Lieferung, Leistung über mehrere Tage"</formula1>
    </dataValidation>
    <dataValidation errorStyle="information" operator="lessThanOrEqual" allowBlank="1" showErrorMessage="1" error="Bitte tragen Sie eine Bezeichnung der Lieferung/Leistung ein!" sqref="C23"/>
    <dataValidation type="list" allowBlank="1" showInputMessage="1" showErrorMessage="1" sqref="X23:X35">
      <formula1>"Ja,Nein"</formula1>
    </dataValidation>
    <dataValidation type="textLength" operator="lessThanOrEqual" allowBlank="1" showInputMessage="1" showErrorMessage="1" sqref="W23:W35">
      <formula1>30</formula1>
    </dataValidation>
    <dataValidation type="list" allowBlank="1" showInputMessage="1" showErrorMessage="1" sqref="T23:T35">
      <formula1>"Prozent19,Prozent7,Prozent0,nicht_steuerbar"</formula1>
    </dataValidation>
    <dataValidation allowBlank="1" showErrorMessage="1" promptTitle="Automatisiert UST-Angabe" prompt="Der Umsatzsteuersatz wird automatisch ausgefüllt, sobald das Feld steuerliche Einschätzung ausgewählt wurde." sqref="Q23:Q35"/>
    <dataValidation type="textLength" allowBlank="1" showInputMessage="1" showErrorMessage="1" errorTitle="Länge Abrechnungsobjekt" error="Die länge des verwendeten Abrechnungsobjektes muss zwischen 6 und 9  Zeichen liegen." sqref="V23:V35">
      <formula1>6</formula1>
      <formula2>9</formula2>
    </dataValidation>
  </dataValidations>
  <pageMargins left="0.6" right="0.43307086614173229" top="0.61" bottom="0.71" header="0.25" footer="0.3"/>
  <pageSetup paperSize="9" scale="76" fitToHeight="0" orientation="portrait" r:id="rId1"/>
  <headerFooter alignWithMargins="0">
    <oddFooter>&amp;L&amp;"-,Fett Kursiv"Bankverbindung:&amp;"-,Standard"
Kontoinhaber - Kreditinstitut - IBAN - BIC&amp;R&amp;10Steuernummer:&amp;11
&amp;8Seite &amp;P von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92D050"/>
    <pageSetUpPr fitToPage="1"/>
  </sheetPr>
  <dimension ref="A1:W35"/>
  <sheetViews>
    <sheetView showGridLines="0" zoomScaleNormal="100" workbookViewId="0">
      <selection activeCell="B9" sqref="B9:H9"/>
    </sheetView>
  </sheetViews>
  <sheetFormatPr baseColWidth="10" defaultColWidth="11.42578125" defaultRowHeight="12.75"/>
  <cols>
    <col min="1" max="1" width="20.7109375" style="25" customWidth="1"/>
    <col min="2" max="3" width="8" style="25" customWidth="1"/>
    <col min="4" max="4" width="6.28515625" style="25" customWidth="1"/>
    <col min="5" max="7" width="8" style="25" customWidth="1"/>
    <col min="8" max="8" width="12.28515625" style="25" customWidth="1"/>
    <col min="9" max="9" width="14.42578125" style="25" customWidth="1"/>
    <col min="10" max="12" width="26.42578125" style="25" hidden="1" customWidth="1"/>
    <col min="13" max="13" width="9.85546875" style="25" hidden="1" customWidth="1"/>
    <col min="14" max="14" width="3" style="25" hidden="1" customWidth="1"/>
    <col min="15" max="15" width="26.42578125" style="25" hidden="1" customWidth="1"/>
    <col min="16" max="16" width="4.28515625" style="25" hidden="1" customWidth="1"/>
    <col min="17" max="17" width="8.85546875" style="25" hidden="1" customWidth="1"/>
    <col min="18" max="18" width="20.85546875" style="25" hidden="1" customWidth="1"/>
    <col min="19" max="19" width="13.5703125" style="53" hidden="1" customWidth="1"/>
    <col min="20" max="20" width="13" style="25" hidden="1" customWidth="1"/>
    <col min="21" max="21" width="17.140625" style="25" hidden="1" customWidth="1"/>
    <col min="22" max="16384" width="11.42578125" style="25"/>
  </cols>
  <sheetData>
    <row r="1" spans="1:21">
      <c r="J1" s="80"/>
      <c r="K1" s="80"/>
      <c r="L1" s="80"/>
      <c r="M1" s="80"/>
      <c r="N1" s="80"/>
    </row>
    <row r="2" spans="1:21" ht="12.75" customHeight="1">
      <c r="B2" s="254" t="s">
        <v>20</v>
      </c>
      <c r="C2" s="254"/>
      <c r="D2" s="254"/>
      <c r="E2" s="254"/>
      <c r="G2" s="26"/>
      <c r="H2" s="255" t="str">
        <f>IF('Rechnung USt'!$U$4="","RT fehlt !",VLOOKUP('Rechnung USt'!$U$4,RT!$A:$E,5,FALSE))</f>
        <v>RT fehlt !</v>
      </c>
      <c r="I2" s="255"/>
      <c r="J2" s="79"/>
      <c r="K2" s="79"/>
      <c r="L2" s="79"/>
      <c r="M2" s="79"/>
      <c r="N2" s="79"/>
      <c r="O2" s="250"/>
      <c r="P2" s="250"/>
      <c r="Q2" s="250"/>
    </row>
    <row r="3" spans="1:21" ht="12.75" customHeight="1">
      <c r="B3" s="254"/>
      <c r="C3" s="254"/>
      <c r="D3" s="254"/>
      <c r="E3" s="254"/>
      <c r="F3" s="26"/>
      <c r="G3" s="26"/>
      <c r="H3" s="255"/>
      <c r="I3" s="255"/>
      <c r="J3" s="79"/>
      <c r="K3" s="79"/>
      <c r="L3" s="79"/>
      <c r="M3" s="79"/>
      <c r="N3" s="79"/>
      <c r="O3" s="250"/>
      <c r="P3" s="250"/>
      <c r="Q3" s="250"/>
    </row>
    <row r="4" spans="1:21" ht="12.75" customHeight="1">
      <c r="B4" s="254"/>
      <c r="C4" s="254"/>
      <c r="D4" s="254"/>
      <c r="E4" s="254"/>
      <c r="F4" s="26"/>
      <c r="G4" s="26"/>
      <c r="H4" s="255"/>
      <c r="I4" s="255"/>
      <c r="J4" s="79"/>
      <c r="K4" s="79"/>
      <c r="L4" s="79"/>
      <c r="M4" s="79"/>
      <c r="N4" s="79"/>
      <c r="O4" s="250"/>
      <c r="P4" s="250"/>
      <c r="Q4" s="250"/>
    </row>
    <row r="5" spans="1:21" ht="21.75" customHeight="1">
      <c r="B5" s="251" t="str">
        <f>IF('Rechnung USt'!$U$4="","Eingabe des RT im Register Rechnung Bruttoverbucher notwendig",VLOOKUP('Rechnung USt'!$U$4,RT!$A:$E,2,FALSE))</f>
        <v>Eingabe des RT im Register Rechnung Bruttoverbucher notwendig</v>
      </c>
      <c r="C5" s="251"/>
      <c r="D5" s="251"/>
      <c r="E5" s="251"/>
      <c r="F5" s="251"/>
      <c r="G5" s="251"/>
      <c r="H5" s="251"/>
      <c r="I5" s="251"/>
      <c r="J5" s="81"/>
      <c r="K5" s="81"/>
      <c r="L5" s="81"/>
      <c r="M5" s="81"/>
      <c r="N5" s="81"/>
      <c r="O5" s="64"/>
      <c r="P5" s="64"/>
      <c r="Q5" s="64"/>
    </row>
    <row r="6" spans="1:21" s="27" customFormat="1" ht="10.5" customHeight="1">
      <c r="C6" s="28"/>
      <c r="D6" s="28"/>
      <c r="S6" s="54"/>
    </row>
    <row r="7" spans="1:21" s="29" customFormat="1" ht="30" customHeight="1">
      <c r="B7" s="30" t="s">
        <v>262</v>
      </c>
      <c r="S7" s="49"/>
    </row>
    <row r="8" spans="1:21" s="33" customFormat="1" ht="29.25" customHeight="1">
      <c r="A8" s="31" t="s">
        <v>21</v>
      </c>
      <c r="B8" s="252" t="s">
        <v>22</v>
      </c>
      <c r="C8" s="252"/>
      <c r="D8" s="252"/>
      <c r="E8" s="252"/>
      <c r="F8" s="25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S8" s="199"/>
    </row>
    <row r="9" spans="1:21" s="33" customFormat="1" ht="30" customHeight="1">
      <c r="A9" s="34" t="s">
        <v>261</v>
      </c>
      <c r="B9" s="258" t="str">
        <f>IF('Rechnung USt'!$U$4="","",'Rechnung USt'!$U$6)</f>
        <v/>
      </c>
      <c r="C9" s="258"/>
      <c r="D9" s="258"/>
      <c r="E9" s="258"/>
      <c r="F9" s="258"/>
      <c r="G9" s="258"/>
      <c r="H9" s="258"/>
      <c r="I9" s="65"/>
      <c r="J9" s="66"/>
      <c r="K9" s="66"/>
      <c r="L9" s="66"/>
      <c r="M9" s="66"/>
      <c r="N9" s="66"/>
      <c r="O9" s="66"/>
      <c r="P9" s="66"/>
      <c r="Q9" s="66"/>
      <c r="S9" s="199"/>
    </row>
    <row r="10" spans="1:21" s="29" customFormat="1" ht="30" customHeight="1">
      <c r="A10" s="35" t="s">
        <v>23</v>
      </c>
      <c r="B10" s="259" t="str">
        <f>IF('Rechnung USt'!$U$4="","",'Rechnung USt'!$U$7&amp;", "&amp;'Rechnung USt'!$U$8)</f>
        <v/>
      </c>
      <c r="C10" s="259"/>
      <c r="D10" s="259"/>
      <c r="E10" s="259"/>
      <c r="F10" s="259"/>
      <c r="G10" s="259"/>
      <c r="H10" s="259"/>
      <c r="I10" s="65"/>
      <c r="J10" s="66"/>
      <c r="K10" s="66"/>
      <c r="L10" s="66"/>
      <c r="M10" s="66"/>
      <c r="N10" s="66"/>
      <c r="O10" s="66"/>
      <c r="P10" s="66"/>
      <c r="Q10" s="66"/>
      <c r="S10" s="49"/>
    </row>
    <row r="11" spans="1:21" s="29" customFormat="1" ht="30" customHeight="1">
      <c r="A11" s="35" t="s">
        <v>24</v>
      </c>
      <c r="B11" s="247"/>
      <c r="C11" s="247"/>
      <c r="D11" s="247"/>
      <c r="E11" s="247"/>
      <c r="F11" s="247"/>
      <c r="G11" s="247"/>
      <c r="H11" s="247"/>
      <c r="I11" s="65"/>
      <c r="J11" s="66"/>
      <c r="K11" s="66"/>
      <c r="L11" s="66"/>
      <c r="M11" s="66"/>
      <c r="N11" s="66"/>
      <c r="O11" s="66"/>
      <c r="P11" s="66"/>
      <c r="Q11" s="66"/>
      <c r="S11" s="49"/>
    </row>
    <row r="12" spans="1:21" s="29" customFormat="1" ht="25.5" customHeight="1">
      <c r="A12" s="36" t="s">
        <v>25</v>
      </c>
      <c r="B12" s="166"/>
      <c r="C12" s="166"/>
      <c r="D12" s="166"/>
      <c r="E12" s="166"/>
      <c r="F12" s="166"/>
      <c r="G12" s="166"/>
      <c r="H12" s="166"/>
      <c r="I12" s="37"/>
      <c r="J12" s="37"/>
      <c r="K12" s="37"/>
      <c r="L12" s="37"/>
      <c r="M12" s="37"/>
      <c r="N12" s="37"/>
      <c r="O12" s="37"/>
      <c r="P12" s="37"/>
      <c r="Q12" s="37"/>
      <c r="S12" s="50"/>
    </row>
    <row r="13" spans="1:21" s="29" customFormat="1" ht="4.5" customHeight="1">
      <c r="A13" s="38"/>
      <c r="B13" s="204"/>
      <c r="C13" s="205"/>
      <c r="D13" s="205"/>
      <c r="E13" s="205"/>
      <c r="F13" s="205"/>
      <c r="G13" s="205"/>
      <c r="H13" s="205"/>
      <c r="I13" s="37"/>
      <c r="J13" s="37"/>
      <c r="K13" s="37"/>
      <c r="L13" s="37"/>
      <c r="M13" s="37"/>
      <c r="N13" s="37"/>
      <c r="O13" s="37"/>
      <c r="P13" s="37"/>
      <c r="Q13" s="37"/>
      <c r="S13" s="50"/>
    </row>
    <row r="14" spans="1:21" s="29" customFormat="1" ht="30" customHeight="1">
      <c r="A14" s="35" t="s">
        <v>26</v>
      </c>
      <c r="B14" s="256"/>
      <c r="C14" s="256"/>
      <c r="D14" s="256"/>
      <c r="E14" s="256"/>
      <c r="F14" s="256"/>
      <c r="G14" s="256"/>
      <c r="H14" s="256"/>
      <c r="S14" s="49"/>
    </row>
    <row r="15" spans="1:21" s="29" customFormat="1" ht="45" customHeight="1">
      <c r="A15" s="34" t="s">
        <v>27</v>
      </c>
      <c r="B15" s="257"/>
      <c r="C15" s="257"/>
      <c r="D15" s="257"/>
      <c r="E15" s="257"/>
      <c r="F15" s="257"/>
      <c r="G15" s="257"/>
      <c r="H15" s="257"/>
      <c r="S15" s="49"/>
    </row>
    <row r="16" spans="1:21" s="29" customFormat="1" ht="30" customHeight="1">
      <c r="A16" s="48" t="s">
        <v>260</v>
      </c>
      <c r="B16" s="83" t="str">
        <f>IF(A20="","",'Rechnung USt'!R14)</f>
        <v/>
      </c>
      <c r="C16" s="67"/>
      <c r="D16" s="67"/>
      <c r="E16" s="67"/>
      <c r="F16" s="67"/>
      <c r="G16" s="67"/>
      <c r="H16" s="67"/>
      <c r="N16" s="241" t="s">
        <v>271</v>
      </c>
      <c r="O16" s="241"/>
      <c r="P16" s="241"/>
      <c r="Q16" s="241"/>
      <c r="R16" s="241"/>
      <c r="S16" s="241"/>
      <c r="T16" s="241"/>
      <c r="U16" s="241"/>
    </row>
    <row r="17" spans="1:23" s="29" customFormat="1" ht="14.25" customHeight="1">
      <c r="A17" s="35"/>
      <c r="B17" s="39"/>
      <c r="C17" s="39"/>
      <c r="D17" s="39"/>
      <c r="E17" s="39"/>
      <c r="F17" s="39"/>
      <c r="G17" s="39"/>
      <c r="H17" s="39"/>
      <c r="I17" s="40"/>
      <c r="J17" s="40"/>
      <c r="K17" s="40"/>
      <c r="L17" s="40"/>
      <c r="M17" s="40"/>
      <c r="N17" s="241"/>
      <c r="O17" s="241"/>
      <c r="P17" s="241"/>
      <c r="Q17" s="241"/>
      <c r="R17" s="241"/>
      <c r="S17" s="241"/>
      <c r="T17" s="241"/>
      <c r="U17" s="241"/>
    </row>
    <row r="18" spans="1:23" s="29" customFormat="1" ht="40.5" customHeight="1">
      <c r="A18" s="41" t="s">
        <v>28</v>
      </c>
      <c r="B18" s="42"/>
      <c r="C18" s="42"/>
      <c r="D18" s="210"/>
      <c r="E18" s="210"/>
      <c r="F18" s="240" t="s">
        <v>298</v>
      </c>
      <c r="G18" s="240"/>
      <c r="H18" s="210"/>
      <c r="I18" s="42"/>
      <c r="J18" s="42"/>
      <c r="K18" s="42"/>
      <c r="L18" s="42"/>
      <c r="M18" s="42"/>
      <c r="N18" s="237" t="s">
        <v>295</v>
      </c>
      <c r="O18" s="239"/>
      <c r="P18" s="198"/>
      <c r="Q18" s="237" t="s">
        <v>294</v>
      </c>
      <c r="R18" s="239"/>
      <c r="S18" s="237" t="s">
        <v>293</v>
      </c>
      <c r="T18" s="238"/>
      <c r="U18" s="239"/>
    </row>
    <row r="19" spans="1:23" s="44" customFormat="1" ht="25.5" customHeight="1">
      <c r="A19" s="43" t="s">
        <v>292</v>
      </c>
      <c r="B19" s="253" t="s">
        <v>29</v>
      </c>
      <c r="C19" s="253"/>
      <c r="D19" s="253" t="s">
        <v>254</v>
      </c>
      <c r="E19" s="253"/>
      <c r="F19" s="45" t="s">
        <v>264</v>
      </c>
      <c r="G19" s="82" t="s">
        <v>255</v>
      </c>
      <c r="H19" s="40"/>
      <c r="N19" s="183"/>
      <c r="O19" s="184"/>
      <c r="P19" s="202"/>
      <c r="Q19" s="185" t="s">
        <v>256</v>
      </c>
      <c r="R19" s="186" t="s">
        <v>257</v>
      </c>
      <c r="S19" s="185" t="s">
        <v>256</v>
      </c>
      <c r="T19" s="187" t="s">
        <v>291</v>
      </c>
      <c r="U19" s="184"/>
    </row>
    <row r="20" spans="1:23" s="44" customFormat="1" ht="23.25" customHeight="1">
      <c r="A20" s="68" t="str">
        <f>IF(O20="","",SUMIFS('Rechnung USt'!S$23:S$35,'Rechnung USt'!A$23:A$35,VLOOKUP(O20,M$20:R$32,6,FALSE)))</f>
        <v/>
      </c>
      <c r="B20" s="243" t="str">
        <f>IF(A20="","",IFERROR(VLOOKUP(VLOOKUP(O20,M$20:R$32,6,FALSE),'Rechnung USt'!A:V,22,FALSE),""))</f>
        <v/>
      </c>
      <c r="C20" s="244"/>
      <c r="D20" s="243" t="str">
        <f>IF(A20="","",LEFT(VLOOKUP(VLOOKUP(O20,M$20:R$32,6,FALSE),'Rechnung USt'!A:V,21,FALSE),6))</f>
        <v/>
      </c>
      <c r="E20" s="244"/>
      <c r="F20" s="69" t="str">
        <f>IF(A20="","",VLOOKUP(D20*1,Sachkonten!K:L,2,FALSE))</f>
        <v/>
      </c>
      <c r="G20" s="235" t="str">
        <f>IF(A20="","",IFERROR(VLOOKUP(VLOOKUP(O20,M$20:R$32,6,FALSE),'Rechnung USt'!A:W,23,FALSE),""))</f>
        <v/>
      </c>
      <c r="H20" s="236"/>
      <c r="I20" s="236"/>
      <c r="J20" s="197"/>
      <c r="K20" s="197"/>
      <c r="L20" s="197"/>
      <c r="M20" s="196" t="str">
        <f>IF(R20="","",CONCATENATE(LEFT(R20,1),P20)*1)</f>
        <v/>
      </c>
      <c r="N20" s="188">
        <v>1</v>
      </c>
      <c r="O20" s="195" t="str">
        <f>IFERROR(LARGE(M$20:M$32,N20),"")</f>
        <v/>
      </c>
      <c r="P20" s="203">
        <v>11</v>
      </c>
      <c r="Q20" s="177">
        <v>1</v>
      </c>
      <c r="R20" s="189" t="str">
        <f>IFERROR(VLOOKUP(Q20,T$20:U$32,2,FALSE),"")</f>
        <v/>
      </c>
      <c r="S20" s="177">
        <v>1</v>
      </c>
      <c r="T20" s="190">
        <f>IFERROR(MATCH(U20,'Rechnung USt'!Z$23:Z$35,0),"")</f>
        <v>1</v>
      </c>
      <c r="U20" s="191" t="str">
        <f>IFERROR(SMALL('Rechnung USt'!Z$23:Z$35,'Buchungsblatt Bruttoverbucher'!S20),"")</f>
        <v/>
      </c>
      <c r="V20" s="45"/>
      <c r="W20" s="45"/>
    </row>
    <row r="21" spans="1:23" s="44" customFormat="1" ht="25.5" customHeight="1">
      <c r="A21" s="68" t="str">
        <f>IF(O21="","",SUMIFS('Rechnung USt'!S$23:S$35,'Rechnung USt'!A$23:A$35,VLOOKUP(O21,M$20:R$32,6,FALSE)))</f>
        <v/>
      </c>
      <c r="B21" s="243" t="str">
        <f>IF(A21="","",IFERROR(VLOOKUP(VLOOKUP(O21,M$20:R$32,6,FALSE),'Rechnung USt'!A:V,22,FALSE),""))</f>
        <v/>
      </c>
      <c r="C21" s="244"/>
      <c r="D21" s="243" t="str">
        <f>IF(A21="","",LEFT(VLOOKUP(VLOOKUP(O21,M$20:R$32,6,FALSE),'Rechnung USt'!A:V,21,FALSE),6))</f>
        <v/>
      </c>
      <c r="E21" s="244"/>
      <c r="F21" s="69" t="str">
        <f>IF(A21="","",VLOOKUP(D21*1,Sachkonten!K:L,2,FALSE))</f>
        <v/>
      </c>
      <c r="G21" s="235" t="str">
        <f>IF(A21="","",IFERROR(VLOOKUP(VLOOKUP(O21,M$20:R$32,6,FALSE),'Rechnung USt'!A:W,23,FALSE),""))</f>
        <v/>
      </c>
      <c r="H21" s="236"/>
      <c r="I21" s="236"/>
      <c r="L21" s="197"/>
      <c r="M21" s="196" t="str">
        <f t="shared" ref="M21:M32" si="0">IF(R21="","",CONCATENATE(LEFT(R21,1),P21)*1)</f>
        <v/>
      </c>
      <c r="N21" s="188">
        <v>2</v>
      </c>
      <c r="O21" s="195" t="str">
        <f t="shared" ref="O21:O32" si="1">IFERROR(LARGE(M$20:M$32,N21),"")</f>
        <v/>
      </c>
      <c r="P21" s="203">
        <v>12</v>
      </c>
      <c r="Q21" s="177">
        <v>2</v>
      </c>
      <c r="R21" s="189" t="str">
        <f t="shared" ref="R21:R32" si="2">IFERROR(VLOOKUP(Q21,T$20:U$32,2,FALSE),"")</f>
        <v/>
      </c>
      <c r="S21" s="177">
        <v>2</v>
      </c>
      <c r="T21" s="190">
        <f>IFERROR(MATCH(U21,'Rechnung USt'!Z$23:Z$35,0),"")</f>
        <v>1</v>
      </c>
      <c r="U21" s="191" t="str">
        <f>IFERROR(SMALL('Rechnung USt'!Z$23:Z$35,'Buchungsblatt Bruttoverbucher'!S21),"")</f>
        <v/>
      </c>
      <c r="V21" s="45"/>
      <c r="W21" s="45"/>
    </row>
    <row r="22" spans="1:23" s="44" customFormat="1" ht="25.5" customHeight="1">
      <c r="A22" s="68" t="str">
        <f>IF(O22="","",SUMIFS('Rechnung USt'!S$23:S$35,'Rechnung USt'!A$23:A$35,VLOOKUP(O22,M$20:R$32,6,FALSE)))</f>
        <v/>
      </c>
      <c r="B22" s="243" t="str">
        <f>IF(A22="","",IFERROR(VLOOKUP(VLOOKUP(O22,M$20:R$32,6,FALSE),'Rechnung USt'!A:V,22,FALSE),""))</f>
        <v/>
      </c>
      <c r="C22" s="244"/>
      <c r="D22" s="243" t="str">
        <f>IF(A22="","",LEFT(VLOOKUP(VLOOKUP(O22,M$20:R$32,6,FALSE),'Rechnung USt'!A:V,21,FALSE),6))</f>
        <v/>
      </c>
      <c r="E22" s="244"/>
      <c r="F22" s="69" t="str">
        <f>IF(A22="","",VLOOKUP(D22*1,Sachkonten!K:L,2,FALSE))</f>
        <v/>
      </c>
      <c r="G22" s="235" t="str">
        <f>IF(A22="","",IFERROR(VLOOKUP(VLOOKUP(O22,M$20:R$32,6,FALSE),'Rechnung USt'!A:W,23,FALSE),""))</f>
        <v/>
      </c>
      <c r="H22" s="236"/>
      <c r="I22" s="236"/>
      <c r="L22" s="197"/>
      <c r="M22" s="196" t="str">
        <f t="shared" si="0"/>
        <v/>
      </c>
      <c r="N22" s="188">
        <v>3</v>
      </c>
      <c r="O22" s="195" t="str">
        <f t="shared" si="1"/>
        <v/>
      </c>
      <c r="P22" s="203">
        <v>13</v>
      </c>
      <c r="Q22" s="177">
        <v>3</v>
      </c>
      <c r="R22" s="189" t="str">
        <f t="shared" si="2"/>
        <v/>
      </c>
      <c r="S22" s="177">
        <v>3</v>
      </c>
      <c r="T22" s="190">
        <f>IFERROR(MATCH(U22,'Rechnung USt'!Z$23:Z$35,0),"")</f>
        <v>1</v>
      </c>
      <c r="U22" s="191" t="str">
        <f>IFERROR(SMALL('Rechnung USt'!Z$23:Z$35,'Buchungsblatt Bruttoverbucher'!S22),"")</f>
        <v/>
      </c>
      <c r="V22" s="45"/>
      <c r="W22" s="45"/>
    </row>
    <row r="23" spans="1:23" s="44" customFormat="1" ht="25.5" customHeight="1">
      <c r="A23" s="68" t="str">
        <f>IF(O23="","",SUMIFS('Rechnung USt'!S$23:S$35,'Rechnung USt'!A$23:A$35,VLOOKUP(O23,M$20:R$32,6,FALSE)))</f>
        <v/>
      </c>
      <c r="B23" s="243" t="str">
        <f>IF(A23="","",IFERROR(VLOOKUP(VLOOKUP(O23,M$20:R$32,6,FALSE),'Rechnung USt'!A:V,22,FALSE),""))</f>
        <v/>
      </c>
      <c r="C23" s="244"/>
      <c r="D23" s="243" t="str">
        <f>IF(A23="","",LEFT(VLOOKUP(VLOOKUP(O23,M$20:R$32,6,FALSE),'Rechnung USt'!A:V,21,FALSE),6))</f>
        <v/>
      </c>
      <c r="E23" s="244"/>
      <c r="F23" s="69" t="str">
        <f>IF(A23="","",VLOOKUP(D23*1,Sachkonten!K:L,2,FALSE))</f>
        <v/>
      </c>
      <c r="G23" s="235" t="str">
        <f>IF(A23="","",IFERROR(VLOOKUP(VLOOKUP(O23,M$20:R$32,6,FALSE),'Rechnung USt'!A:W,23,FALSE),""))</f>
        <v/>
      </c>
      <c r="H23" s="236"/>
      <c r="I23" s="236"/>
      <c r="L23" s="197"/>
      <c r="M23" s="196" t="str">
        <f t="shared" si="0"/>
        <v/>
      </c>
      <c r="N23" s="188">
        <v>4</v>
      </c>
      <c r="O23" s="195" t="str">
        <f t="shared" si="1"/>
        <v/>
      </c>
      <c r="P23" s="203">
        <v>14</v>
      </c>
      <c r="Q23" s="177">
        <v>4</v>
      </c>
      <c r="R23" s="189" t="str">
        <f t="shared" si="2"/>
        <v/>
      </c>
      <c r="S23" s="177">
        <v>4</v>
      </c>
      <c r="T23" s="190">
        <f>IFERROR(MATCH(U23,'Rechnung USt'!Z$23:Z$35,0),"")</f>
        <v>1</v>
      </c>
      <c r="U23" s="191" t="str">
        <f>IFERROR(SMALL('Rechnung USt'!Z$23:Z$35,'Buchungsblatt Bruttoverbucher'!S23),"")</f>
        <v/>
      </c>
    </row>
    <row r="24" spans="1:23" s="44" customFormat="1" ht="25.5" customHeight="1">
      <c r="A24" s="68" t="str">
        <f>IF(O24="","",SUMIFS('Rechnung USt'!S$23:S$35,'Rechnung USt'!A$23:A$35,VLOOKUP(O24,M$20:R$32,6,FALSE)))</f>
        <v/>
      </c>
      <c r="B24" s="243" t="str">
        <f>IF(A24="","",IFERROR(VLOOKUP(VLOOKUP(O24,M$20:R$32,6,FALSE),'Rechnung USt'!A:V,22,FALSE),""))</f>
        <v/>
      </c>
      <c r="C24" s="244"/>
      <c r="D24" s="243" t="str">
        <f>IF(A24="","",LEFT(VLOOKUP(VLOOKUP(O24,M$20:R$32,6,FALSE),'Rechnung USt'!A:V,21,FALSE),6))</f>
        <v/>
      </c>
      <c r="E24" s="244"/>
      <c r="F24" s="69" t="str">
        <f>IF(A24="","",VLOOKUP(D24*1,Sachkonten!K:L,2,FALSE))</f>
        <v/>
      </c>
      <c r="G24" s="235" t="str">
        <f>IF(A24="","",IFERROR(VLOOKUP(VLOOKUP(O24,M$20:R$32,6,FALSE),'Rechnung USt'!A:W,23,FALSE),""))</f>
        <v/>
      </c>
      <c r="H24" s="236"/>
      <c r="I24" s="236"/>
      <c r="L24" s="197" t="str">
        <f t="shared" ref="L24:L32" si="3">IFERROR(MID(R24,2,LEN(R24)-1),"")</f>
        <v/>
      </c>
      <c r="M24" s="196" t="str">
        <f t="shared" si="0"/>
        <v/>
      </c>
      <c r="N24" s="188">
        <v>5</v>
      </c>
      <c r="O24" s="195" t="str">
        <f t="shared" si="1"/>
        <v/>
      </c>
      <c r="P24" s="203">
        <v>15</v>
      </c>
      <c r="Q24" s="177">
        <v>5</v>
      </c>
      <c r="R24" s="189" t="str">
        <f t="shared" si="2"/>
        <v/>
      </c>
      <c r="S24" s="177">
        <v>5</v>
      </c>
      <c r="T24" s="190">
        <f>IFERROR(MATCH(U24,'Rechnung USt'!Z$23:Z$35,0),"")</f>
        <v>1</v>
      </c>
      <c r="U24" s="191" t="str">
        <f>IFERROR(SMALL('Rechnung USt'!Z$23:Z$35,'Buchungsblatt Bruttoverbucher'!S24),"")</f>
        <v/>
      </c>
    </row>
    <row r="25" spans="1:23" s="44" customFormat="1" ht="25.5" customHeight="1">
      <c r="A25" s="68" t="str">
        <f>IF(O25="","",SUMIFS('Rechnung USt'!S$23:S$35,'Rechnung USt'!A$23:A$35,VLOOKUP(O25,M$20:R$32,6,FALSE)))</f>
        <v/>
      </c>
      <c r="B25" s="243" t="str">
        <f>IF(A25="","",IFERROR(VLOOKUP(VLOOKUP(O25,M$20:R$32,6,FALSE),'Rechnung USt'!A:V,22,FALSE),""))</f>
        <v/>
      </c>
      <c r="C25" s="244"/>
      <c r="D25" s="243" t="str">
        <f>IF(A25="","",LEFT(VLOOKUP(VLOOKUP(O25,M$20:R$32,6,FALSE),'Rechnung USt'!A:V,21,FALSE),6))</f>
        <v/>
      </c>
      <c r="E25" s="244"/>
      <c r="F25" s="69" t="str">
        <f>IF(A25="","",VLOOKUP(D25*1,Sachkonten!K:L,2,FALSE))</f>
        <v/>
      </c>
      <c r="G25" s="235" t="str">
        <f>IF(A25="","",IFERROR(VLOOKUP(VLOOKUP(O25,M$20:R$32,6,FALSE),'Rechnung USt'!A:W,23,FALSE),""))</f>
        <v/>
      </c>
      <c r="H25" s="236"/>
      <c r="I25" s="236"/>
      <c r="L25" s="197" t="str">
        <f t="shared" si="3"/>
        <v/>
      </c>
      <c r="M25" s="196" t="str">
        <f t="shared" si="0"/>
        <v/>
      </c>
      <c r="N25" s="188">
        <v>6</v>
      </c>
      <c r="O25" s="195" t="str">
        <f t="shared" si="1"/>
        <v/>
      </c>
      <c r="P25" s="203">
        <v>16</v>
      </c>
      <c r="Q25" s="177">
        <v>6</v>
      </c>
      <c r="R25" s="189" t="str">
        <f t="shared" si="2"/>
        <v/>
      </c>
      <c r="S25" s="177">
        <v>6</v>
      </c>
      <c r="T25" s="190">
        <f>IFERROR(MATCH(U25,'Rechnung USt'!Z$23:Z$35,0),"")</f>
        <v>1</v>
      </c>
      <c r="U25" s="191" t="str">
        <f>IFERROR(SMALL('Rechnung USt'!Z$23:Z$35,'Buchungsblatt Bruttoverbucher'!S25),"")</f>
        <v/>
      </c>
    </row>
    <row r="26" spans="1:23" s="44" customFormat="1" ht="25.5" customHeight="1">
      <c r="A26" s="68" t="str">
        <f>IF(O26="","",SUMIFS('Rechnung USt'!S$23:S$35,'Rechnung USt'!A$23:A$35,VLOOKUP(O26,M$20:R$32,6,FALSE)))</f>
        <v/>
      </c>
      <c r="B26" s="243" t="str">
        <f>IF(A26="","",IFERROR(VLOOKUP(VLOOKUP(O26,M$20:R$32,6,FALSE),'Rechnung USt'!A:V,22,FALSE),""))</f>
        <v/>
      </c>
      <c r="C26" s="244"/>
      <c r="D26" s="243" t="str">
        <f>IF(A26="","",LEFT(VLOOKUP(VLOOKUP(O26,M$20:R$32,6,FALSE),'Rechnung USt'!A:V,21,FALSE),6))</f>
        <v/>
      </c>
      <c r="E26" s="244"/>
      <c r="F26" s="69" t="str">
        <f>IF(A26="","",VLOOKUP(D26*1,Sachkonten!K:L,2,FALSE))</f>
        <v/>
      </c>
      <c r="G26" s="235" t="str">
        <f>IF(A26="","",IFERROR(VLOOKUP(VLOOKUP(O26,M$20:R$32,6,FALSE),'Rechnung USt'!A:W,23,FALSE),""))</f>
        <v/>
      </c>
      <c r="H26" s="236"/>
      <c r="I26" s="236"/>
      <c r="L26" s="197" t="str">
        <f t="shared" si="3"/>
        <v/>
      </c>
      <c r="M26" s="196" t="str">
        <f t="shared" si="0"/>
        <v/>
      </c>
      <c r="N26" s="188">
        <v>7</v>
      </c>
      <c r="O26" s="195" t="str">
        <f t="shared" si="1"/>
        <v/>
      </c>
      <c r="P26" s="203">
        <v>17</v>
      </c>
      <c r="Q26" s="177">
        <v>7</v>
      </c>
      <c r="R26" s="189" t="str">
        <f t="shared" si="2"/>
        <v/>
      </c>
      <c r="S26" s="177">
        <v>7</v>
      </c>
      <c r="T26" s="190">
        <f>IFERROR(MATCH(U26,'Rechnung USt'!Z$23:Z$35,0),"")</f>
        <v>1</v>
      </c>
      <c r="U26" s="191" t="str">
        <f>IFERROR(SMALL('Rechnung USt'!Z$23:Z$35,'Buchungsblatt Bruttoverbucher'!S26),"")</f>
        <v/>
      </c>
    </row>
    <row r="27" spans="1:23" s="44" customFormat="1" ht="25.5" customHeight="1">
      <c r="A27" s="68" t="str">
        <f>IF(O27="","",SUMIFS('Rechnung USt'!S$23:S$35,'Rechnung USt'!A$23:A$35,VLOOKUP(O27,M$20:R$32,6,FALSE)))</f>
        <v/>
      </c>
      <c r="B27" s="243" t="str">
        <f>IF(A27="","",IFERROR(VLOOKUP(VLOOKUP(O27,M$20:R$32,6,FALSE),'Rechnung USt'!A:V,22,FALSE),""))</f>
        <v/>
      </c>
      <c r="C27" s="244"/>
      <c r="D27" s="243" t="str">
        <f>IF(A27="","",LEFT(VLOOKUP(VLOOKUP(O27,M$20:R$32,6,FALSE),'Rechnung USt'!A:V,21,FALSE),6))</f>
        <v/>
      </c>
      <c r="E27" s="244"/>
      <c r="F27" s="69" t="str">
        <f>IF(A27="","",VLOOKUP(D27*1,Sachkonten!K:L,2,FALSE))</f>
        <v/>
      </c>
      <c r="G27" s="235" t="str">
        <f>IF(A27="","",IFERROR(VLOOKUP(VLOOKUP(O27,M$20:R$32,6,FALSE),'Rechnung USt'!A:W,23,FALSE),""))</f>
        <v/>
      </c>
      <c r="H27" s="236"/>
      <c r="I27" s="236"/>
      <c r="L27" s="197" t="str">
        <f t="shared" si="3"/>
        <v/>
      </c>
      <c r="M27" s="196" t="str">
        <f t="shared" si="0"/>
        <v/>
      </c>
      <c r="N27" s="188">
        <v>8</v>
      </c>
      <c r="O27" s="195" t="str">
        <f t="shared" si="1"/>
        <v/>
      </c>
      <c r="P27" s="203">
        <v>18</v>
      </c>
      <c r="Q27" s="177">
        <v>8</v>
      </c>
      <c r="R27" s="189" t="str">
        <f t="shared" si="2"/>
        <v/>
      </c>
      <c r="S27" s="177">
        <v>8</v>
      </c>
      <c r="T27" s="190">
        <f>IFERROR(MATCH(U27,'Rechnung USt'!Z$23:Z$35,0),"")</f>
        <v>1</v>
      </c>
      <c r="U27" s="191" t="str">
        <f>IFERROR(SMALL('Rechnung USt'!Z$23:Z$35,'Buchungsblatt Bruttoverbucher'!S27),"")</f>
        <v/>
      </c>
    </row>
    <row r="28" spans="1:23" s="44" customFormat="1" ht="25.5" customHeight="1">
      <c r="A28" s="68" t="str">
        <f>IF(O28="","",SUMIFS('Rechnung USt'!S$23:S$35,'Rechnung USt'!A$23:A$35,VLOOKUP(O28,M$20:R$32,6,FALSE)))</f>
        <v/>
      </c>
      <c r="B28" s="243" t="str">
        <f>IF(A28="","",IFERROR(VLOOKUP(VLOOKUP(O28,M$20:R$32,6,FALSE),'Rechnung USt'!A:V,22,FALSE),""))</f>
        <v/>
      </c>
      <c r="C28" s="244"/>
      <c r="D28" s="243" t="str">
        <f>IF(A28="","",LEFT(VLOOKUP(VLOOKUP(O28,M$20:R$32,6,FALSE),'Rechnung USt'!A:V,21,FALSE),6))</f>
        <v/>
      </c>
      <c r="E28" s="244"/>
      <c r="F28" s="69" t="str">
        <f>IF(A28="","",VLOOKUP(D28*1,Sachkonten!K:L,2,FALSE))</f>
        <v/>
      </c>
      <c r="G28" s="235" t="str">
        <f>IF(A28="","",IFERROR(VLOOKUP(VLOOKUP(O28,M$20:R$32,6,FALSE),'Rechnung USt'!A:W,23,FALSE),""))</f>
        <v/>
      </c>
      <c r="H28" s="236"/>
      <c r="I28" s="236"/>
      <c r="L28" s="197" t="str">
        <f t="shared" si="3"/>
        <v/>
      </c>
      <c r="M28" s="196" t="str">
        <f t="shared" si="0"/>
        <v/>
      </c>
      <c r="N28" s="188">
        <v>9</v>
      </c>
      <c r="O28" s="195" t="str">
        <f t="shared" si="1"/>
        <v/>
      </c>
      <c r="P28" s="203">
        <v>19</v>
      </c>
      <c r="Q28" s="177">
        <v>9</v>
      </c>
      <c r="R28" s="189" t="str">
        <f t="shared" si="2"/>
        <v/>
      </c>
      <c r="S28" s="177">
        <v>9</v>
      </c>
      <c r="T28" s="190">
        <f>IFERROR(MATCH(U28,'Rechnung USt'!Z$23:Z$35,0),"")</f>
        <v>1</v>
      </c>
      <c r="U28" s="191" t="str">
        <f>IFERROR(SMALL('Rechnung USt'!Z$23:Z$35,'Buchungsblatt Bruttoverbucher'!S28),"")</f>
        <v/>
      </c>
    </row>
    <row r="29" spans="1:23" s="44" customFormat="1" ht="25.5" customHeight="1">
      <c r="A29" s="68" t="str">
        <f>IF(O29="","",SUMIFS('Rechnung USt'!S$23:S$35,'Rechnung USt'!A$23:A$35,VLOOKUP(O29,M$20:R$32,6,FALSE)))</f>
        <v/>
      </c>
      <c r="B29" s="243" t="str">
        <f>IF(A29="","",IFERROR(VLOOKUP(VLOOKUP(O29,M$20:R$32,6,FALSE),'Rechnung USt'!A:V,22,FALSE),""))</f>
        <v/>
      </c>
      <c r="C29" s="244"/>
      <c r="D29" s="243" t="str">
        <f>IF(A29="","",LEFT(VLOOKUP(VLOOKUP(O29,M$20:R$32,6,FALSE),'Rechnung USt'!A:V,21,FALSE),6))</f>
        <v/>
      </c>
      <c r="E29" s="244"/>
      <c r="F29" s="69" t="str">
        <f>IF(A29="","",VLOOKUP(D29*1,Sachkonten!K:L,2,FALSE))</f>
        <v/>
      </c>
      <c r="G29" s="235" t="str">
        <f>IF(A29="","",IFERROR(VLOOKUP(VLOOKUP(O29,M$20:R$32,6,FALSE),'Rechnung USt'!A:W,23,FALSE),""))</f>
        <v/>
      </c>
      <c r="H29" s="236"/>
      <c r="I29" s="236"/>
      <c r="L29" s="197" t="str">
        <f t="shared" si="3"/>
        <v/>
      </c>
      <c r="M29" s="196" t="str">
        <f t="shared" si="0"/>
        <v/>
      </c>
      <c r="N29" s="188">
        <v>10</v>
      </c>
      <c r="O29" s="195" t="str">
        <f t="shared" si="1"/>
        <v/>
      </c>
      <c r="P29" s="203">
        <v>20</v>
      </c>
      <c r="Q29" s="177">
        <v>10</v>
      </c>
      <c r="R29" s="189" t="str">
        <f t="shared" si="2"/>
        <v/>
      </c>
      <c r="S29" s="177">
        <v>10</v>
      </c>
      <c r="T29" s="190">
        <f>IFERROR(MATCH(U29,'Rechnung USt'!Z$23:Z$35,0),"")</f>
        <v>1</v>
      </c>
      <c r="U29" s="191" t="str">
        <f>IFERROR(SMALL('Rechnung USt'!Z$23:Z$35,'Buchungsblatt Bruttoverbucher'!S29),"")</f>
        <v/>
      </c>
    </row>
    <row r="30" spans="1:23" s="44" customFormat="1" ht="25.5" customHeight="1">
      <c r="A30" s="68" t="str">
        <f>IF(O30="","",SUMIFS('Rechnung USt'!S$23:S$35,'Rechnung USt'!A$23:A$35,VLOOKUP(O30,M$20:R$32,6,FALSE)))</f>
        <v/>
      </c>
      <c r="B30" s="243" t="str">
        <f>IF(A30="","",IFERROR(VLOOKUP(VLOOKUP(O30,M$20:R$32,6,FALSE),'Rechnung USt'!A:V,22,FALSE),""))</f>
        <v/>
      </c>
      <c r="C30" s="244"/>
      <c r="D30" s="243" t="str">
        <f>IF(A30="","",LEFT(VLOOKUP(VLOOKUP(O30,M$20:R$32,6,FALSE),'Rechnung USt'!A:V,21,FALSE),6))</f>
        <v/>
      </c>
      <c r="E30" s="244"/>
      <c r="F30" s="69" t="str">
        <f>IF(A30="","",VLOOKUP(D30*1,Sachkonten!K:L,2,FALSE))</f>
        <v/>
      </c>
      <c r="G30" s="235" t="str">
        <f>IF(A30="","",IFERROR(VLOOKUP(VLOOKUP(O30,M$20:R$32,6,FALSE),'Rechnung USt'!A:W,23,FALSE),""))</f>
        <v/>
      </c>
      <c r="H30" s="236"/>
      <c r="I30" s="236"/>
      <c r="L30" s="197" t="str">
        <f t="shared" si="3"/>
        <v/>
      </c>
      <c r="M30" s="196" t="str">
        <f t="shared" si="0"/>
        <v/>
      </c>
      <c r="N30" s="188">
        <v>11</v>
      </c>
      <c r="O30" s="195" t="str">
        <f t="shared" si="1"/>
        <v/>
      </c>
      <c r="P30" s="203">
        <v>21</v>
      </c>
      <c r="Q30" s="177">
        <v>11</v>
      </c>
      <c r="R30" s="189" t="str">
        <f t="shared" si="2"/>
        <v/>
      </c>
      <c r="S30" s="177">
        <v>11</v>
      </c>
      <c r="T30" s="190">
        <f>IFERROR(MATCH(U30,'Rechnung USt'!Z$23:Z$35,0),"")</f>
        <v>1</v>
      </c>
      <c r="U30" s="191" t="str">
        <f>IFERROR(SMALL('Rechnung USt'!Z$23:Z$35,'Buchungsblatt Bruttoverbucher'!S30),"")</f>
        <v/>
      </c>
    </row>
    <row r="31" spans="1:23" s="44" customFormat="1" ht="25.5" customHeight="1">
      <c r="A31" s="68" t="str">
        <f>IF(O31="","",SUMIFS('Rechnung USt'!S$23:S$35,'Rechnung USt'!A$23:A$35,VLOOKUP(O31,M$20:R$32,6,FALSE)))</f>
        <v/>
      </c>
      <c r="B31" s="243" t="str">
        <f>IF(A31="","",IFERROR(VLOOKUP(VLOOKUP(O31,M$20:R$32,6,FALSE),'Rechnung USt'!A:V,22,FALSE),""))</f>
        <v/>
      </c>
      <c r="C31" s="244"/>
      <c r="D31" s="243" t="str">
        <f>IF(A31="","",LEFT(VLOOKUP(VLOOKUP(O31,M$20:R$32,6,FALSE),'Rechnung USt'!A:V,21,FALSE),6))</f>
        <v/>
      </c>
      <c r="E31" s="244"/>
      <c r="F31" s="69" t="str">
        <f>IF(A31="","",VLOOKUP(D31*1,Sachkonten!K:L,2,FALSE))</f>
        <v/>
      </c>
      <c r="G31" s="235" t="str">
        <f>IF(A31="","",IFERROR(VLOOKUP(VLOOKUP(O31,M$20:R$32,6,FALSE),'Rechnung USt'!A:W,23,FALSE),""))</f>
        <v/>
      </c>
      <c r="H31" s="236"/>
      <c r="I31" s="236"/>
      <c r="L31" s="197" t="str">
        <f t="shared" si="3"/>
        <v/>
      </c>
      <c r="M31" s="196" t="str">
        <f t="shared" si="0"/>
        <v/>
      </c>
      <c r="N31" s="188">
        <v>12</v>
      </c>
      <c r="O31" s="195" t="str">
        <f t="shared" si="1"/>
        <v/>
      </c>
      <c r="P31" s="203">
        <v>22</v>
      </c>
      <c r="Q31" s="177">
        <v>12</v>
      </c>
      <c r="R31" s="189" t="str">
        <f t="shared" si="2"/>
        <v/>
      </c>
      <c r="S31" s="177">
        <v>12</v>
      </c>
      <c r="T31" s="190">
        <f>IFERROR(MATCH(U31,'Rechnung USt'!Z$23:Z$35,0),"")</f>
        <v>1</v>
      </c>
      <c r="U31" s="191" t="str">
        <f>IFERROR(SMALL('Rechnung USt'!Z$23:Z$35,'Buchungsblatt Bruttoverbucher'!S31),"")</f>
        <v/>
      </c>
    </row>
    <row r="32" spans="1:23" s="44" customFormat="1" ht="25.5" customHeight="1">
      <c r="A32" s="68" t="str">
        <f>IF(O32="","",SUMIFS('Rechnung USt'!S$23:S$35,'Rechnung USt'!A$23:A$35,VLOOKUP(O32,M$20:R$32,6,FALSE)))</f>
        <v/>
      </c>
      <c r="B32" s="243" t="str">
        <f>IF(A32="","",IFERROR(VLOOKUP(VLOOKUP(O32,M$20:R$32,6,FALSE),'Rechnung USt'!A:V,22,FALSE),""))</f>
        <v/>
      </c>
      <c r="C32" s="244"/>
      <c r="D32" s="243" t="str">
        <f>IF(A32="","",LEFT(VLOOKUP(VLOOKUP(O32,M$20:R$32,6,FALSE),'Rechnung USt'!A:V,21,FALSE),6))</f>
        <v/>
      </c>
      <c r="E32" s="244"/>
      <c r="F32" s="69" t="str">
        <f>IF(A32="","",VLOOKUP(D32*1,Sachkonten!K:L,2,FALSE))</f>
        <v/>
      </c>
      <c r="G32" s="235" t="str">
        <f>IF(A32="","",IFERROR(VLOOKUP(VLOOKUP(O32,M$20:R$32,6,FALSE),'Rechnung USt'!A:W,23,FALSE),""))</f>
        <v/>
      </c>
      <c r="H32" s="236"/>
      <c r="I32" s="236"/>
      <c r="J32" s="52"/>
      <c r="K32" s="52"/>
      <c r="L32" s="197" t="str">
        <f t="shared" si="3"/>
        <v/>
      </c>
      <c r="M32" s="196" t="str">
        <f t="shared" si="0"/>
        <v/>
      </c>
      <c r="N32" s="192">
        <v>13</v>
      </c>
      <c r="O32" s="195" t="str">
        <f t="shared" si="1"/>
        <v/>
      </c>
      <c r="P32" s="203">
        <v>23</v>
      </c>
      <c r="Q32" s="178">
        <v>13</v>
      </c>
      <c r="R32" s="189" t="str">
        <f t="shared" si="2"/>
        <v/>
      </c>
      <c r="S32" s="178">
        <v>13</v>
      </c>
      <c r="T32" s="193">
        <f>IFERROR(MATCH(U32,'Rechnung USt'!Z$23:Z$35,0),"")</f>
        <v>1</v>
      </c>
      <c r="U32" s="194" t="str">
        <f>IFERROR(SMALL('Rechnung USt'!Z$23:Z$35,'Buchungsblatt Bruttoverbucher'!S32),"")</f>
        <v/>
      </c>
    </row>
    <row r="33" spans="1:19" s="44" customFormat="1" ht="20.25" customHeight="1">
      <c r="A33" s="182" t="str">
        <f>IF(SUM(A20:A32)&lt;&gt;0,SUM(A20:A32),"")</f>
        <v/>
      </c>
      <c r="B33" s="245" t="str">
        <f>IF(A33="","","Gesamtbetrag")</f>
        <v/>
      </c>
      <c r="C33" s="245"/>
      <c r="D33" s="201"/>
      <c r="E33" s="46"/>
      <c r="F33" s="46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S33" s="45"/>
    </row>
    <row r="34" spans="1:19" s="29" customFormat="1" ht="37.5" customHeight="1">
      <c r="A34" s="248"/>
      <c r="B34" s="248"/>
      <c r="C34" s="248"/>
      <c r="D34" s="50"/>
      <c r="E34" s="47"/>
      <c r="F34" s="246"/>
      <c r="G34" s="246"/>
      <c r="H34" s="246"/>
      <c r="I34" s="246"/>
      <c r="J34" s="62"/>
      <c r="K34" s="62"/>
      <c r="L34" s="62"/>
      <c r="M34" s="62"/>
      <c r="N34" s="62"/>
      <c r="O34" s="62"/>
      <c r="P34" s="62"/>
      <c r="Q34" s="62"/>
      <c r="S34" s="49"/>
    </row>
    <row r="35" spans="1:19" s="29" customFormat="1" ht="17.25" customHeight="1">
      <c r="A35" s="249" t="s">
        <v>30</v>
      </c>
      <c r="B35" s="249"/>
      <c r="C35" s="249"/>
      <c r="D35" s="63"/>
      <c r="E35" s="63"/>
      <c r="F35" s="242" t="s">
        <v>31</v>
      </c>
      <c r="G35" s="242"/>
      <c r="H35" s="242"/>
      <c r="I35" s="242"/>
      <c r="J35" s="200"/>
      <c r="K35" s="200"/>
      <c r="L35" s="200"/>
      <c r="M35" s="200"/>
      <c r="N35" s="200"/>
      <c r="O35" s="200"/>
      <c r="P35" s="200"/>
      <c r="Q35" s="200"/>
      <c r="S35" s="49"/>
    </row>
  </sheetData>
  <sheetProtection password="C597" sheet="1" objects="1" scenarios="1" selectLockedCells="1"/>
  <mergeCells count="61">
    <mergeCell ref="B11:H11"/>
    <mergeCell ref="A34:C34"/>
    <mergeCell ref="A35:C35"/>
    <mergeCell ref="O2:Q4"/>
    <mergeCell ref="B5:I5"/>
    <mergeCell ref="B8:F8"/>
    <mergeCell ref="B19:C19"/>
    <mergeCell ref="D19:E19"/>
    <mergeCell ref="B2:E4"/>
    <mergeCell ref="H2:I4"/>
    <mergeCell ref="B14:H14"/>
    <mergeCell ref="B15:H15"/>
    <mergeCell ref="B9:H9"/>
    <mergeCell ref="B10:H10"/>
    <mergeCell ref="B22:C22"/>
    <mergeCell ref="D22:E22"/>
    <mergeCell ref="B23:C23"/>
    <mergeCell ref="D23:E23"/>
    <mergeCell ref="B20:C20"/>
    <mergeCell ref="D20:E20"/>
    <mergeCell ref="B21:C21"/>
    <mergeCell ref="D21:E21"/>
    <mergeCell ref="B26:C26"/>
    <mergeCell ref="D26:E26"/>
    <mergeCell ref="B27:C27"/>
    <mergeCell ref="D27:E27"/>
    <mergeCell ref="B24:C24"/>
    <mergeCell ref="D24:E24"/>
    <mergeCell ref="B25:C25"/>
    <mergeCell ref="D25:E25"/>
    <mergeCell ref="B30:C30"/>
    <mergeCell ref="D30:E30"/>
    <mergeCell ref="B31:C31"/>
    <mergeCell ref="D31:E31"/>
    <mergeCell ref="B28:C28"/>
    <mergeCell ref="D28:E28"/>
    <mergeCell ref="B29:C29"/>
    <mergeCell ref="D29:E29"/>
    <mergeCell ref="F35:I35"/>
    <mergeCell ref="B32:C32"/>
    <mergeCell ref="D32:E32"/>
    <mergeCell ref="B33:C33"/>
    <mergeCell ref="F34:I34"/>
    <mergeCell ref="N16:U17"/>
    <mergeCell ref="G24:I24"/>
    <mergeCell ref="G25:I25"/>
    <mergeCell ref="G26:I26"/>
    <mergeCell ref="G27:I27"/>
    <mergeCell ref="G20:I20"/>
    <mergeCell ref="G21:I21"/>
    <mergeCell ref="G22:I22"/>
    <mergeCell ref="G23:I23"/>
    <mergeCell ref="G29:I29"/>
    <mergeCell ref="G30:I30"/>
    <mergeCell ref="G31:I31"/>
    <mergeCell ref="G32:I32"/>
    <mergeCell ref="S18:U18"/>
    <mergeCell ref="Q18:R18"/>
    <mergeCell ref="N18:O18"/>
    <mergeCell ref="G28:I28"/>
    <mergeCell ref="F18:G18"/>
  </mergeCells>
  <pageMargins left="0.59055118110236227" right="0.27559055118110237" top="0.35433070866141736" bottom="0.39370078740157483" header="0.19685039370078741" footer="0.15748031496062992"/>
  <pageSetup paperSize="9" scale="95" orientation="portrait" blackAndWhite="1" r:id="rId1"/>
  <headerFooter>
    <oddFooter>&amp;L&amp;"Calibri,Standard"&amp;9&amp;K01+045Belegdatum: &amp;D&amp;R&amp;"Calibri,Standard"&amp;9&amp;K01+045Version V1.9 - Dezember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18</vt:i4>
      </vt:variant>
    </vt:vector>
  </HeadingPairs>
  <TitlesOfParts>
    <vt:vector size="24" baseType="lpstr">
      <vt:lpstr>Tabelle1</vt:lpstr>
      <vt:lpstr>Sachkonten</vt:lpstr>
      <vt:lpstr>RT</vt:lpstr>
      <vt:lpstr>Dokumentation</vt:lpstr>
      <vt:lpstr>Rechnung USt</vt:lpstr>
      <vt:lpstr>Buchungsblatt Bruttoverbucher</vt:lpstr>
      <vt:lpstr>Audi</vt:lpstr>
      <vt:lpstr>'Buchungsblatt Bruttoverbucher'!Druckbereich</vt:lpstr>
      <vt:lpstr>Dokumentation!Druckbereich</vt:lpstr>
      <vt:lpstr>'Rechnung USt'!Druckbereich</vt:lpstr>
      <vt:lpstr>Dokumentation!Drucktitel</vt:lpstr>
      <vt:lpstr>nicht_steuerbar</vt:lpstr>
      <vt:lpstr>Prozent0</vt:lpstr>
      <vt:lpstr>Prozent19</vt:lpstr>
      <vt:lpstr>Prozent7</vt:lpstr>
      <vt:lpstr>regelsteuersatz</vt:lpstr>
      <vt:lpstr>steuerfrei</vt:lpstr>
      <vt:lpstr>Tabelle1</vt:lpstr>
      <vt:lpstr>Tabelle2</vt:lpstr>
      <vt:lpstr>Tabelle3</vt:lpstr>
      <vt:lpstr>Tabelle4</vt:lpstr>
      <vt:lpstr>vermindert</vt:lpstr>
      <vt:lpstr>'Buchungsblatt Bruttoverbucher'!Zielbereich</vt:lpstr>
      <vt:lpstr>Tabelle1!Zielbereich</vt:lpstr>
    </vt:vector>
  </TitlesOfParts>
  <Company>EVANGELISCHE KIRCHE IN HESSEN UND NASSAU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Sauder, Philipp</dc:creator>
  <cp:lastModifiedBy>Schmitt, Anette</cp:lastModifiedBy>
  <cp:lastPrinted>2022-11-03T19:56:53Z</cp:lastPrinted>
  <dcterms:created xsi:type="dcterms:W3CDTF">2021-03-04T09:02:50Z</dcterms:created>
  <dcterms:modified xsi:type="dcterms:W3CDTF">2025-06-24T13:12:04Z</dcterms:modified>
</cp:coreProperties>
</file>