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120" yWindow="120" windowWidth="19440" windowHeight="11760" tabRatio="694" firstSheet="3" activeTab="3"/>
  </bookViews>
  <sheets>
    <sheet name="Dokumentation" sheetId="3" state="hidden" r:id="rId1"/>
    <sheet name="RT" sheetId="2" state="hidden" r:id="rId2"/>
    <sheet name="SaKo" sheetId="4" state="hidden" r:id="rId3"/>
    <sheet name="Kassenbuch" sheetId="6" r:id="rId4"/>
    <sheet name="Barbestand" sheetId="13" r:id="rId5"/>
    <sheet name="Buchungsblatt Aufwand" sheetId="12" r:id="rId6"/>
    <sheet name="Buchungsblatt Ertrag" sheetId="16" r:id="rId7"/>
  </sheets>
  <definedNames>
    <definedName name="Aufwand">SaKo!$K$2:$K$32</definedName>
    <definedName name="_xlnm.Print_Area" localSheetId="4">Barbestand!$A$1:$H$24</definedName>
    <definedName name="_xlnm.Print_Area" localSheetId="5">'Buchungsblatt Aufwand'!$A$1:$J$34</definedName>
    <definedName name="_xlnm.Print_Area" localSheetId="6">'Buchungsblatt Ertrag'!$A$1:$I$37</definedName>
    <definedName name="_xlnm.Print_Area" localSheetId="0">Dokumentation!$A$1:$C$24</definedName>
    <definedName name="_xlnm.Print_Area" localSheetId="3">Kassenbuch!$C$1:$K$69</definedName>
    <definedName name="_xlnm.Print_Titles" localSheetId="0">Dokumentation!$1:$1</definedName>
    <definedName name="_xlnm.Print_Titles" localSheetId="3">Kassenbuch!$1:$19</definedName>
    <definedName name="Ertrag">SaKo!$E$2:$E$31</definedName>
    <definedName name="Gruppen">SaKo!$A$2:$A$3</definedName>
    <definedName name="Matrix">Kassenbuch!$T$20:$U$68</definedName>
    <definedName name="Matrix1">Kassenbuch!$Y$20:$Z$68</definedName>
    <definedName name="SaKo17">INDIRECT(INDEX(Gruppen,Kassenbuch!$R$20,1))</definedName>
    <definedName name="SaKo18">INDIRECT(INDEX(Gruppen,Kassenbuch!$R$21,1))</definedName>
    <definedName name="SaKo19">INDIRECT(INDEX(Gruppen,Kassenbuch!$R$22,1))</definedName>
    <definedName name="SaKo20">INDIRECT(INDEX(Gruppen,Kassenbuch!$R$23,1))</definedName>
    <definedName name="SaKo21">INDIRECT(INDEX(Gruppen,Kassenbuch!$R$24,1))</definedName>
    <definedName name="SaKo22">INDIRECT(INDEX(Gruppen,Kassenbuch!$R$25,1))</definedName>
    <definedName name="SaKo23">INDIRECT(INDEX(Gruppen,Kassenbuch!$R$26,1))</definedName>
    <definedName name="SaKo24">INDIRECT(INDEX(Gruppen,Kassenbuch!$R$27,1))</definedName>
    <definedName name="SaKo25">INDIRECT(INDEX(Gruppen,Kassenbuch!$R$28,1))</definedName>
    <definedName name="SaKo26">INDIRECT(INDEX(Gruppen,Kassenbuch!$R$29,1))</definedName>
    <definedName name="SaKo27">INDIRECT(INDEX(Gruppen,Kassenbuch!$R$30,1))</definedName>
    <definedName name="SaKo28">INDIRECT(INDEX(Gruppen,Kassenbuch!$R$31,1))</definedName>
    <definedName name="SaKo29">INDIRECT(INDEX(Gruppen,Kassenbuch!$R$32,1))</definedName>
    <definedName name="SaKo30">INDIRECT(INDEX(Gruppen,Kassenbuch!$R$33,1))</definedName>
    <definedName name="SaKo31">INDIRECT(INDEX(Gruppen,Kassenbuch!$R$34,1))</definedName>
    <definedName name="SaKo32">INDIRECT(INDEX(Gruppen,Kassenbuch!$R$35,1))</definedName>
    <definedName name="SaKo33">INDIRECT(INDEX(Gruppen,Kassenbuch!$R$36,1))</definedName>
    <definedName name="SaKo34">INDIRECT(INDEX(Gruppen,Kassenbuch!$R$37,1))</definedName>
    <definedName name="SaKo35">INDIRECT(INDEX(Gruppen,Kassenbuch!$R$38,1))</definedName>
    <definedName name="SaKo36">INDIRECT(INDEX(Gruppen,Kassenbuch!$R$39,1))</definedName>
    <definedName name="SaKo37">INDIRECT(INDEX(Gruppen,Kassenbuch!$R$40,1))</definedName>
    <definedName name="SaKo38">INDIRECT(INDEX(Gruppen,Kassenbuch!$R$41,1))</definedName>
    <definedName name="SaKo39">INDIRECT(INDEX(Gruppen,Kassenbuch!$R$42,1))</definedName>
    <definedName name="SaKo40">INDIRECT(INDEX(Gruppen,Kassenbuch!$R$43,1))</definedName>
    <definedName name="SaKo41">INDIRECT(INDEX(Gruppen,Kassenbuch!$R$44,1))</definedName>
    <definedName name="SaKo42">INDIRECT(INDEX(Gruppen,Kassenbuch!$R$45,1))</definedName>
    <definedName name="SaKo43">INDIRECT(INDEX(Gruppen,Kassenbuch!$R$46,1))</definedName>
    <definedName name="SaKo44">INDIRECT(INDEX(Gruppen,Kassenbuch!$R$47,1))</definedName>
    <definedName name="SaKo45">INDIRECT(INDEX(Gruppen,Kassenbuch!$R$48,1))</definedName>
    <definedName name="SaKo46">INDIRECT(INDEX(Gruppen,Kassenbuch!$R$49,1))</definedName>
    <definedName name="SaKo47">INDIRECT(INDEX(Gruppen,Kassenbuch!$R$50,1))</definedName>
    <definedName name="SaKo48">INDIRECT(INDEX(Gruppen,Kassenbuch!$R$51,1))</definedName>
    <definedName name="SaKo49">INDIRECT(INDEX(Gruppen,Kassenbuch!$R$52,1))</definedName>
    <definedName name="SaKo50">INDIRECT(INDEX(Gruppen,Kassenbuch!$R$53,1))</definedName>
    <definedName name="SaKo51">INDIRECT(INDEX(Gruppen,Kassenbuch!$R$54,1))</definedName>
    <definedName name="SaKo52">INDIRECT(INDEX(Gruppen,Kassenbuch!$R$55,1))</definedName>
    <definedName name="SaKo53">INDIRECT(INDEX(Gruppen,Kassenbuch!$R$56,1))</definedName>
    <definedName name="SaKo54">INDIRECT(INDEX(Gruppen,Kassenbuch!$R$57,1))</definedName>
    <definedName name="SaKo55">INDIRECT(INDEX(Gruppen,Kassenbuch!$R$58,1))</definedName>
    <definedName name="SaKo56">INDIRECT(INDEX(Gruppen,Kassenbuch!$R$59,1))</definedName>
    <definedName name="SaKo57">INDIRECT(INDEX(Gruppen,Kassenbuch!$R$60,1))</definedName>
    <definedName name="SaKo58">INDIRECT(INDEX(Gruppen,Kassenbuch!$R$61,1))</definedName>
    <definedName name="SaKo59">INDIRECT(INDEX(Gruppen,Kassenbuch!$R$62,1))</definedName>
    <definedName name="SaKo60">INDIRECT(INDEX(Gruppen,Kassenbuch!$R$63,1))</definedName>
    <definedName name="SaKo61">INDIRECT(INDEX(Gruppen,Kassenbuch!$R$64,1))</definedName>
    <definedName name="SaKo62">INDIRECT(INDEX(Gruppen,Kassenbuch!$R$65,1))</definedName>
    <definedName name="SaKo63">INDIRECT(INDEX(Gruppen,Kassenbuch!$R$66,1))</definedName>
    <definedName name="SaKo64">INDIRECT(INDEX(Gruppen,Kassenbuch!$R$67,1))</definedName>
    <definedName name="SaKo65">INDIRECT(INDEX(Gruppen,Kassenbuch!$R$68,1))</definedName>
    <definedName name="SaKoAufwand">SaKo!$J$2:$J$31</definedName>
    <definedName name="SaKoAufwandBuchungsblatt">SaKo!$J$2:$L$52</definedName>
    <definedName name="SaKoBereichAufwand">SaKo!$I$2:$L$31</definedName>
    <definedName name="SaKoBereichErtrag">SaKo!$C$2:$F$36</definedName>
    <definedName name="SaKoErtrag">SaKo!$D$2:$D$30</definedName>
    <definedName name="SaKoErtragBuchungsblatt">SaKo!$D$2:$F$52</definedName>
  </definedNames>
  <calcPr calcId="162913"/>
</workbook>
</file>

<file path=xl/calcChain.xml><?xml version="1.0" encoding="utf-8"?>
<calcChain xmlns="http://schemas.openxmlformats.org/spreadsheetml/2006/main">
  <c r="D261" i="2" l="1"/>
  <c r="E261" i="2" s="1"/>
  <c r="C261" i="2"/>
  <c r="D260" i="2"/>
  <c r="E260" i="2" s="1"/>
  <c r="C260" i="2"/>
  <c r="D259" i="2"/>
  <c r="E259" i="2" s="1"/>
  <c r="C259" i="2"/>
  <c r="E258" i="2"/>
  <c r="D258" i="2"/>
  <c r="C258" i="2"/>
  <c r="D257" i="2"/>
  <c r="E257" i="2" s="1"/>
  <c r="C257" i="2"/>
  <c r="D256" i="2"/>
  <c r="E256" i="2" s="1"/>
  <c r="C256" i="2"/>
  <c r="D255" i="2"/>
  <c r="E255" i="2" s="1"/>
  <c r="C255" i="2"/>
  <c r="D254" i="2"/>
  <c r="E254" i="2" s="1"/>
  <c r="C254" i="2"/>
  <c r="D253" i="2"/>
  <c r="E253" i="2" s="1"/>
  <c r="C253" i="2"/>
  <c r="D252" i="2"/>
  <c r="E252" i="2" s="1"/>
  <c r="C252" i="2"/>
  <c r="D251" i="2"/>
  <c r="E251" i="2" s="1"/>
  <c r="C251" i="2"/>
  <c r="E250" i="2"/>
  <c r="D250" i="2"/>
  <c r="C250" i="2"/>
  <c r="D249" i="2"/>
  <c r="E249" i="2" s="1"/>
  <c r="C249" i="2"/>
  <c r="D248" i="2"/>
  <c r="E248" i="2" s="1"/>
  <c r="C248" i="2"/>
  <c r="D247" i="2"/>
  <c r="E247" i="2" s="1"/>
  <c r="C247" i="2"/>
  <c r="D246" i="2"/>
  <c r="E246" i="2" s="1"/>
  <c r="C246" i="2"/>
  <c r="D245" i="2"/>
  <c r="E245" i="2" s="1"/>
  <c r="C245" i="2"/>
  <c r="E244" i="2"/>
  <c r="D244" i="2"/>
  <c r="C244" i="2"/>
  <c r="D243" i="2"/>
  <c r="E243" i="2" s="1"/>
  <c r="C243" i="2"/>
  <c r="D242" i="2"/>
  <c r="E242" i="2" s="1"/>
  <c r="C242" i="2"/>
  <c r="D241" i="2"/>
  <c r="E241" i="2" s="1"/>
  <c r="C241" i="2"/>
  <c r="E240" i="2"/>
  <c r="D240" i="2"/>
  <c r="C240" i="2"/>
  <c r="D239" i="2"/>
  <c r="E239" i="2" s="1"/>
  <c r="C239" i="2"/>
  <c r="D238" i="2"/>
  <c r="E238" i="2" s="1"/>
  <c r="C238" i="2"/>
  <c r="D237" i="2"/>
  <c r="E237" i="2" s="1"/>
  <c r="C237" i="2"/>
  <c r="D236" i="2"/>
  <c r="E236" i="2" s="1"/>
  <c r="C236" i="2"/>
  <c r="D235" i="2"/>
  <c r="E235" i="2" s="1"/>
  <c r="C235" i="2"/>
  <c r="E234" i="2"/>
  <c r="C234" i="2"/>
  <c r="E233" i="2"/>
  <c r="D233" i="2"/>
  <c r="C233" i="2"/>
  <c r="D232" i="2"/>
  <c r="E232" i="2" s="1"/>
  <c r="C232" i="2"/>
  <c r="D231" i="2"/>
  <c r="E231" i="2" s="1"/>
  <c r="C231" i="2"/>
  <c r="D230" i="2"/>
  <c r="E230" i="2" s="1"/>
  <c r="C230" i="2"/>
  <c r="E229" i="2"/>
  <c r="D229" i="2"/>
  <c r="E228" i="2"/>
  <c r="D228" i="2"/>
  <c r="C228" i="2"/>
  <c r="D227" i="2"/>
  <c r="E227" i="2" s="1"/>
  <c r="D226" i="2"/>
  <c r="E226" i="2" s="1"/>
  <c r="C226" i="2"/>
  <c r="D225" i="2"/>
  <c r="E225" i="2" s="1"/>
  <c r="C225" i="2"/>
  <c r="D224" i="2"/>
  <c r="E224" i="2" s="1"/>
  <c r="D223" i="2"/>
  <c r="E223" i="2" s="1"/>
  <c r="D222" i="2"/>
  <c r="E222" i="2" s="1"/>
  <c r="C222" i="2"/>
  <c r="E221" i="2"/>
  <c r="D221" i="2"/>
  <c r="C221" i="2"/>
  <c r="D220" i="2"/>
  <c r="E220" i="2" s="1"/>
  <c r="C220" i="2"/>
  <c r="D219" i="2"/>
  <c r="E219" i="2" s="1"/>
  <c r="C219" i="2"/>
  <c r="D218" i="2"/>
  <c r="E218" i="2" s="1"/>
  <c r="C218" i="2"/>
  <c r="D217" i="2"/>
  <c r="E217" i="2" s="1"/>
  <c r="C217" i="2"/>
  <c r="D216" i="2"/>
  <c r="E216" i="2" s="1"/>
  <c r="C216" i="2"/>
  <c r="D215" i="2"/>
  <c r="E215" i="2" s="1"/>
  <c r="C215" i="2"/>
  <c r="D214" i="2"/>
  <c r="E214" i="2" s="1"/>
  <c r="C214" i="2"/>
  <c r="E213" i="2"/>
  <c r="D213" i="2"/>
  <c r="C213" i="2"/>
  <c r="D212" i="2"/>
  <c r="E212" i="2" s="1"/>
  <c r="C212" i="2"/>
  <c r="D211" i="2"/>
  <c r="E211" i="2" s="1"/>
  <c r="C211" i="2"/>
  <c r="D210" i="2"/>
  <c r="E210" i="2" s="1"/>
  <c r="C210" i="2"/>
  <c r="D209" i="2"/>
  <c r="E209" i="2" s="1"/>
  <c r="C209" i="2"/>
  <c r="D208" i="2"/>
  <c r="E208" i="2" s="1"/>
  <c r="C208" i="2"/>
  <c r="D207" i="2"/>
  <c r="E207" i="2" s="1"/>
  <c r="C207" i="2"/>
  <c r="D206" i="2"/>
  <c r="E206" i="2" s="1"/>
  <c r="C206" i="2"/>
  <c r="E205" i="2"/>
  <c r="D205" i="2"/>
  <c r="C205" i="2"/>
  <c r="D204" i="2"/>
  <c r="E204" i="2" s="1"/>
  <c r="C204" i="2"/>
  <c r="D203" i="2"/>
  <c r="E203" i="2" s="1"/>
  <c r="C203" i="2"/>
  <c r="D202" i="2"/>
  <c r="E202" i="2" s="1"/>
  <c r="C202" i="2"/>
  <c r="D201" i="2"/>
  <c r="E201" i="2" s="1"/>
  <c r="C201" i="2"/>
  <c r="D200" i="2"/>
  <c r="E200" i="2" s="1"/>
  <c r="C200" i="2"/>
  <c r="D199" i="2"/>
  <c r="E199" i="2" s="1"/>
  <c r="C199" i="2"/>
  <c r="E198" i="2"/>
  <c r="C198" i="2"/>
  <c r="D197" i="2"/>
  <c r="E197" i="2" s="1"/>
  <c r="C197" i="2"/>
  <c r="D196" i="2"/>
  <c r="E196" i="2" s="1"/>
  <c r="C196" i="2"/>
  <c r="D195" i="2"/>
  <c r="E195" i="2" s="1"/>
  <c r="C195" i="2"/>
  <c r="E194" i="2"/>
  <c r="D194" i="2"/>
  <c r="C194" i="2"/>
  <c r="D193" i="2"/>
  <c r="E193" i="2" s="1"/>
  <c r="C193" i="2"/>
  <c r="D192" i="2"/>
  <c r="E192" i="2" s="1"/>
  <c r="C192" i="2"/>
  <c r="D191" i="2"/>
  <c r="E191" i="2" s="1"/>
  <c r="C191" i="2"/>
  <c r="D190" i="2"/>
  <c r="E190" i="2" s="1"/>
  <c r="C190" i="2"/>
  <c r="D189" i="2"/>
  <c r="E189" i="2" s="1"/>
  <c r="C189" i="2"/>
  <c r="D188" i="2"/>
  <c r="E188" i="2" s="1"/>
  <c r="C188" i="2"/>
  <c r="D187" i="2"/>
  <c r="E187" i="2" s="1"/>
  <c r="C187" i="2"/>
  <c r="E186" i="2"/>
  <c r="D186" i="2"/>
  <c r="C186" i="2"/>
  <c r="D185" i="2"/>
  <c r="E185" i="2" s="1"/>
  <c r="C185" i="2"/>
  <c r="D184" i="2"/>
  <c r="E184" i="2" s="1"/>
  <c r="C184" i="2"/>
  <c r="D183" i="2"/>
  <c r="E183" i="2" s="1"/>
  <c r="C183" i="2"/>
  <c r="D182" i="2"/>
  <c r="E182" i="2" s="1"/>
  <c r="C182" i="2"/>
  <c r="D181" i="2"/>
  <c r="E181" i="2" s="1"/>
  <c r="C181" i="2"/>
  <c r="D180" i="2"/>
  <c r="E180" i="2" s="1"/>
  <c r="C180" i="2"/>
  <c r="D179" i="2"/>
  <c r="E179" i="2" s="1"/>
  <c r="C179" i="2"/>
  <c r="E178" i="2"/>
  <c r="D178" i="2"/>
  <c r="C178" i="2"/>
  <c r="D177" i="2"/>
  <c r="E177" i="2" s="1"/>
  <c r="C177" i="2"/>
  <c r="D176" i="2"/>
  <c r="E176" i="2" s="1"/>
  <c r="C176" i="2"/>
  <c r="D175" i="2"/>
  <c r="E175" i="2" s="1"/>
  <c r="C175" i="2"/>
  <c r="E174" i="2"/>
  <c r="D174" i="2"/>
  <c r="C174" i="2"/>
  <c r="D173" i="2"/>
  <c r="E173" i="2" s="1"/>
  <c r="C173" i="2"/>
  <c r="D172" i="2"/>
  <c r="E172" i="2" s="1"/>
  <c r="C172" i="2"/>
  <c r="D171" i="2"/>
  <c r="E171" i="2" s="1"/>
  <c r="C171" i="2"/>
  <c r="D170" i="2"/>
  <c r="E170" i="2" s="1"/>
  <c r="C170" i="2"/>
  <c r="D169" i="2"/>
  <c r="E169" i="2" s="1"/>
  <c r="C169" i="2"/>
  <c r="E168" i="2"/>
  <c r="D168" i="2"/>
  <c r="C168" i="2"/>
  <c r="D167" i="2"/>
  <c r="E167" i="2" s="1"/>
  <c r="C167" i="2"/>
  <c r="D166" i="2"/>
  <c r="E166" i="2" s="1"/>
  <c r="C166" i="2"/>
  <c r="D165" i="2"/>
  <c r="E165" i="2" s="1"/>
  <c r="C165" i="2"/>
  <c r="D164" i="2"/>
  <c r="E164" i="2" s="1"/>
  <c r="C164" i="2"/>
  <c r="D163" i="2"/>
  <c r="E163" i="2" s="1"/>
  <c r="C163" i="2"/>
  <c r="E162" i="2"/>
  <c r="D162" i="2"/>
  <c r="C162" i="2"/>
  <c r="D161" i="2"/>
  <c r="E161" i="2" s="1"/>
  <c r="C161" i="2"/>
  <c r="D160" i="2"/>
  <c r="E160" i="2" s="1"/>
  <c r="C160" i="2"/>
  <c r="D159" i="2"/>
  <c r="E159" i="2" s="1"/>
  <c r="C159" i="2"/>
  <c r="E158" i="2"/>
  <c r="D158" i="2"/>
  <c r="C158" i="2"/>
  <c r="D157" i="2"/>
  <c r="E157" i="2" s="1"/>
  <c r="C157" i="2"/>
  <c r="D156" i="2"/>
  <c r="E156" i="2" s="1"/>
  <c r="C156" i="2"/>
  <c r="D155" i="2"/>
  <c r="E155" i="2" s="1"/>
  <c r="C155" i="2"/>
  <c r="D154" i="2"/>
  <c r="E154" i="2" s="1"/>
  <c r="C154" i="2"/>
  <c r="D153" i="2"/>
  <c r="E153" i="2" s="1"/>
  <c r="C153" i="2"/>
  <c r="E152" i="2"/>
  <c r="D152" i="2"/>
  <c r="C152" i="2"/>
  <c r="D151" i="2"/>
  <c r="E151" i="2" s="1"/>
  <c r="C151" i="2"/>
  <c r="D150" i="2"/>
  <c r="E150" i="2" s="1"/>
  <c r="C150" i="2"/>
  <c r="D149" i="2"/>
  <c r="E149" i="2" s="1"/>
  <c r="C149" i="2"/>
  <c r="D148" i="2"/>
  <c r="E148" i="2" s="1"/>
  <c r="C148" i="2"/>
  <c r="D147" i="2"/>
  <c r="E147" i="2" s="1"/>
  <c r="C147" i="2"/>
  <c r="E146" i="2"/>
  <c r="D146" i="2"/>
  <c r="C146" i="2"/>
  <c r="D145" i="2"/>
  <c r="E145" i="2" s="1"/>
  <c r="C145" i="2"/>
  <c r="D144" i="2"/>
  <c r="E144" i="2" s="1"/>
  <c r="C144" i="2"/>
  <c r="D143" i="2"/>
  <c r="E143" i="2" s="1"/>
  <c r="C143" i="2"/>
  <c r="E142" i="2"/>
  <c r="D142" i="2"/>
  <c r="C142" i="2"/>
  <c r="D141" i="2"/>
  <c r="E141" i="2" s="1"/>
  <c r="C141" i="2"/>
  <c r="D140" i="2"/>
  <c r="E140" i="2" s="1"/>
  <c r="C140" i="2"/>
  <c r="D139" i="2"/>
  <c r="E139" i="2" s="1"/>
  <c r="C139" i="2"/>
  <c r="D138" i="2"/>
  <c r="E138" i="2" s="1"/>
  <c r="C138" i="2"/>
  <c r="D137" i="2"/>
  <c r="E137" i="2" s="1"/>
  <c r="C137" i="2"/>
  <c r="E136" i="2"/>
  <c r="D136" i="2"/>
  <c r="C136" i="2"/>
  <c r="D135" i="2"/>
  <c r="E135" i="2" s="1"/>
  <c r="C135" i="2"/>
  <c r="D134" i="2"/>
  <c r="E134" i="2" s="1"/>
  <c r="C134" i="2"/>
  <c r="D133" i="2"/>
  <c r="E133" i="2" s="1"/>
  <c r="C133" i="2"/>
  <c r="D132" i="2"/>
  <c r="E132" i="2" s="1"/>
  <c r="C132" i="2"/>
  <c r="D131" i="2"/>
  <c r="E131" i="2" s="1"/>
  <c r="C131" i="2"/>
  <c r="E130" i="2"/>
  <c r="D130" i="2"/>
  <c r="C130" i="2"/>
  <c r="D129" i="2"/>
  <c r="E129" i="2" s="1"/>
  <c r="C129" i="2"/>
  <c r="D128" i="2"/>
  <c r="E128" i="2" s="1"/>
  <c r="C128" i="2"/>
  <c r="D127" i="2"/>
  <c r="E127" i="2" s="1"/>
  <c r="C127" i="2"/>
  <c r="E126" i="2"/>
  <c r="D126" i="2"/>
  <c r="C126" i="2"/>
  <c r="D125" i="2"/>
  <c r="E125" i="2" s="1"/>
  <c r="C125" i="2"/>
  <c r="D124" i="2"/>
  <c r="E124" i="2" s="1"/>
  <c r="C124" i="2"/>
  <c r="D123" i="2"/>
  <c r="E123" i="2" s="1"/>
  <c r="C123" i="2"/>
  <c r="D122" i="2"/>
  <c r="E122" i="2" s="1"/>
  <c r="C122" i="2"/>
  <c r="D121" i="2"/>
  <c r="E121" i="2" s="1"/>
  <c r="C121" i="2"/>
  <c r="E120" i="2"/>
  <c r="D120" i="2"/>
  <c r="C120" i="2"/>
  <c r="D119" i="2"/>
  <c r="E119" i="2" s="1"/>
  <c r="C119" i="2"/>
  <c r="D118" i="2"/>
  <c r="E118" i="2" s="1"/>
  <c r="C118" i="2"/>
  <c r="D117" i="2"/>
  <c r="E117" i="2" s="1"/>
  <c r="C117" i="2"/>
  <c r="D116" i="2"/>
  <c r="E116" i="2" s="1"/>
  <c r="C116" i="2"/>
  <c r="D115" i="2"/>
  <c r="E115" i="2" s="1"/>
  <c r="C115" i="2"/>
  <c r="E114" i="2"/>
  <c r="D114" i="2"/>
  <c r="C114" i="2"/>
  <c r="D113" i="2"/>
  <c r="E113" i="2" s="1"/>
  <c r="C113" i="2"/>
  <c r="D112" i="2"/>
  <c r="E112" i="2" s="1"/>
  <c r="C112" i="2"/>
  <c r="D111" i="2"/>
  <c r="E111" i="2" s="1"/>
  <c r="C111" i="2"/>
  <c r="E110" i="2"/>
  <c r="D110" i="2"/>
  <c r="C110" i="2"/>
  <c r="D109" i="2"/>
  <c r="E109" i="2" s="1"/>
  <c r="C109" i="2"/>
  <c r="D108" i="2"/>
  <c r="E108" i="2" s="1"/>
  <c r="C108" i="2"/>
  <c r="D107" i="2"/>
  <c r="E107" i="2" s="1"/>
  <c r="C107" i="2"/>
  <c r="D106" i="2"/>
  <c r="E106" i="2" s="1"/>
  <c r="C106" i="2"/>
  <c r="D105" i="2"/>
  <c r="E105" i="2" s="1"/>
  <c r="C105" i="2"/>
  <c r="E104" i="2"/>
  <c r="D104" i="2"/>
  <c r="C104" i="2"/>
  <c r="D103" i="2"/>
  <c r="E103" i="2" s="1"/>
  <c r="C103" i="2"/>
  <c r="D102" i="2"/>
  <c r="E102" i="2" s="1"/>
  <c r="C102" i="2"/>
  <c r="D101" i="2"/>
  <c r="E101" i="2" s="1"/>
  <c r="C101" i="2"/>
  <c r="D100" i="2"/>
  <c r="E100" i="2" s="1"/>
  <c r="C100" i="2"/>
  <c r="D99" i="2"/>
  <c r="E99" i="2" s="1"/>
  <c r="C99" i="2"/>
  <c r="E98" i="2"/>
  <c r="D98" i="2"/>
  <c r="C98" i="2"/>
  <c r="D97" i="2"/>
  <c r="E97" i="2" s="1"/>
  <c r="C97" i="2"/>
  <c r="D96" i="2"/>
  <c r="E96" i="2" s="1"/>
  <c r="C96" i="2"/>
  <c r="D95" i="2"/>
  <c r="E95" i="2" s="1"/>
  <c r="C95" i="2"/>
  <c r="E94" i="2"/>
  <c r="D94" i="2"/>
  <c r="C94" i="2"/>
  <c r="D93" i="2"/>
  <c r="E93" i="2" s="1"/>
  <c r="C93" i="2"/>
  <c r="D92" i="2"/>
  <c r="E92" i="2" s="1"/>
  <c r="C92" i="2"/>
  <c r="D91" i="2"/>
  <c r="E91" i="2" s="1"/>
  <c r="C91" i="2"/>
  <c r="D90" i="2"/>
  <c r="E90" i="2" s="1"/>
  <c r="C90" i="2"/>
  <c r="D89" i="2"/>
  <c r="E89" i="2" s="1"/>
  <c r="C89" i="2"/>
  <c r="E88" i="2"/>
  <c r="D88" i="2"/>
  <c r="C88" i="2"/>
  <c r="D87" i="2"/>
  <c r="E87" i="2" s="1"/>
  <c r="C87" i="2"/>
  <c r="D86" i="2"/>
  <c r="E86" i="2" s="1"/>
  <c r="C86" i="2"/>
  <c r="D85" i="2"/>
  <c r="E85" i="2" s="1"/>
  <c r="C85" i="2"/>
  <c r="D84" i="2"/>
  <c r="E84" i="2" s="1"/>
  <c r="C84" i="2"/>
  <c r="D83" i="2"/>
  <c r="E83" i="2" s="1"/>
  <c r="C83" i="2"/>
  <c r="E82" i="2"/>
  <c r="D82" i="2"/>
  <c r="C82" i="2"/>
  <c r="D81" i="2"/>
  <c r="E81" i="2" s="1"/>
  <c r="C81" i="2"/>
  <c r="D80" i="2"/>
  <c r="E80" i="2" s="1"/>
  <c r="C80" i="2"/>
  <c r="D79" i="2"/>
  <c r="E79" i="2" s="1"/>
  <c r="C79" i="2"/>
  <c r="E78" i="2"/>
  <c r="D78" i="2"/>
  <c r="C78" i="2"/>
  <c r="D77" i="2"/>
  <c r="E77" i="2" s="1"/>
  <c r="C77" i="2"/>
  <c r="D76" i="2"/>
  <c r="E76" i="2" s="1"/>
  <c r="C76" i="2"/>
  <c r="D75" i="2"/>
  <c r="E75" i="2" s="1"/>
  <c r="C75" i="2"/>
  <c r="D74" i="2"/>
  <c r="E74" i="2" s="1"/>
  <c r="C74" i="2"/>
  <c r="D73" i="2"/>
  <c r="E73" i="2" s="1"/>
  <c r="C73" i="2"/>
  <c r="E72" i="2"/>
  <c r="D72" i="2"/>
  <c r="C72" i="2"/>
  <c r="D71" i="2"/>
  <c r="E71" i="2" s="1"/>
  <c r="C71" i="2"/>
  <c r="D70" i="2"/>
  <c r="E70" i="2" s="1"/>
  <c r="C70" i="2"/>
  <c r="D69" i="2"/>
  <c r="E69" i="2" s="1"/>
  <c r="C69" i="2"/>
  <c r="D68" i="2"/>
  <c r="E68" i="2" s="1"/>
  <c r="C68" i="2"/>
  <c r="D67" i="2"/>
  <c r="E67" i="2" s="1"/>
  <c r="C67" i="2"/>
  <c r="E66" i="2"/>
  <c r="D66" i="2"/>
  <c r="C66" i="2"/>
  <c r="D65" i="2"/>
  <c r="E65" i="2" s="1"/>
  <c r="C65" i="2"/>
  <c r="D64" i="2"/>
  <c r="E64" i="2" s="1"/>
  <c r="C64" i="2"/>
  <c r="D63" i="2"/>
  <c r="E63" i="2" s="1"/>
  <c r="C63" i="2"/>
  <c r="E62" i="2"/>
  <c r="D62" i="2"/>
  <c r="C62" i="2"/>
  <c r="D61" i="2"/>
  <c r="E61" i="2" s="1"/>
  <c r="C61" i="2"/>
  <c r="D60" i="2"/>
  <c r="E60" i="2" s="1"/>
  <c r="C60" i="2"/>
  <c r="D59" i="2"/>
  <c r="E59" i="2" s="1"/>
  <c r="C59" i="2"/>
  <c r="D58" i="2"/>
  <c r="E58" i="2" s="1"/>
  <c r="C58" i="2"/>
  <c r="D57" i="2"/>
  <c r="E57" i="2" s="1"/>
  <c r="C57" i="2"/>
  <c r="E56" i="2"/>
  <c r="D56" i="2"/>
  <c r="C56" i="2"/>
  <c r="D55" i="2"/>
  <c r="E55" i="2" s="1"/>
  <c r="C55" i="2"/>
  <c r="D54" i="2"/>
  <c r="E54" i="2" s="1"/>
  <c r="C54" i="2"/>
  <c r="D53" i="2"/>
  <c r="E53" i="2" s="1"/>
  <c r="C53" i="2"/>
  <c r="D52" i="2"/>
  <c r="E52" i="2" s="1"/>
  <c r="C52" i="2"/>
  <c r="D51" i="2"/>
  <c r="E51" i="2" s="1"/>
  <c r="C51" i="2"/>
  <c r="E50" i="2"/>
  <c r="D50" i="2"/>
  <c r="C50" i="2"/>
  <c r="D49" i="2"/>
  <c r="E49" i="2" s="1"/>
  <c r="C49" i="2"/>
  <c r="D48" i="2"/>
  <c r="E48" i="2" s="1"/>
  <c r="C48" i="2"/>
  <c r="D47" i="2"/>
  <c r="E47" i="2" s="1"/>
  <c r="C47" i="2"/>
  <c r="E46" i="2"/>
  <c r="D46" i="2"/>
  <c r="C46" i="2"/>
  <c r="D45" i="2"/>
  <c r="E45" i="2" s="1"/>
  <c r="C45" i="2"/>
  <c r="D44" i="2"/>
  <c r="E44" i="2" s="1"/>
  <c r="C44" i="2"/>
  <c r="D43" i="2"/>
  <c r="E43" i="2" s="1"/>
  <c r="C43" i="2"/>
  <c r="D42" i="2"/>
  <c r="E42" i="2" s="1"/>
  <c r="C42" i="2"/>
  <c r="D41" i="2"/>
  <c r="E41" i="2" s="1"/>
  <c r="C41" i="2"/>
  <c r="E40" i="2"/>
  <c r="D40" i="2"/>
  <c r="C40" i="2"/>
  <c r="D39" i="2"/>
  <c r="E39" i="2" s="1"/>
  <c r="C39" i="2"/>
  <c r="D38" i="2"/>
  <c r="E38" i="2" s="1"/>
  <c r="C38" i="2"/>
  <c r="D37" i="2"/>
  <c r="E37" i="2" s="1"/>
  <c r="C37" i="2"/>
  <c r="D36" i="2"/>
  <c r="E36" i="2" s="1"/>
  <c r="C36" i="2"/>
  <c r="D35" i="2"/>
  <c r="E35" i="2" s="1"/>
  <c r="C35" i="2"/>
  <c r="E34" i="2"/>
  <c r="D34" i="2"/>
  <c r="C34" i="2"/>
  <c r="D33" i="2"/>
  <c r="E33" i="2" s="1"/>
  <c r="C33" i="2"/>
  <c r="D32" i="2"/>
  <c r="E32" i="2" s="1"/>
  <c r="C32" i="2"/>
  <c r="D31" i="2"/>
  <c r="E31" i="2" s="1"/>
  <c r="C31" i="2"/>
  <c r="D30" i="2"/>
  <c r="E30" i="2" s="1"/>
  <c r="C30" i="2"/>
  <c r="D29" i="2"/>
  <c r="E29" i="2" s="1"/>
  <c r="C29" i="2"/>
  <c r="D28" i="2"/>
  <c r="E28" i="2" s="1"/>
  <c r="C28" i="2"/>
  <c r="D27" i="2"/>
  <c r="E27" i="2" s="1"/>
  <c r="C27" i="2"/>
  <c r="D26" i="2"/>
  <c r="E26" i="2" s="1"/>
  <c r="C26" i="2"/>
  <c r="D25" i="2"/>
  <c r="E25" i="2" s="1"/>
  <c r="C25" i="2"/>
  <c r="E24" i="2"/>
  <c r="D24" i="2"/>
  <c r="C24" i="2"/>
  <c r="D23" i="2"/>
  <c r="E23" i="2" s="1"/>
  <c r="C23" i="2"/>
  <c r="D22" i="2"/>
  <c r="E22" i="2" s="1"/>
  <c r="C22" i="2"/>
  <c r="D21" i="2"/>
  <c r="E21" i="2" s="1"/>
  <c r="C21" i="2"/>
  <c r="D20" i="2"/>
  <c r="E20" i="2" s="1"/>
  <c r="C20" i="2"/>
  <c r="D19" i="2"/>
  <c r="E19" i="2" s="1"/>
  <c r="C19" i="2"/>
  <c r="E18" i="2"/>
  <c r="D18" i="2"/>
  <c r="C18" i="2"/>
  <c r="D17" i="2"/>
  <c r="E17" i="2" s="1"/>
  <c r="C17" i="2"/>
  <c r="D16" i="2"/>
  <c r="E16" i="2" s="1"/>
  <c r="C16" i="2"/>
  <c r="D15" i="2"/>
  <c r="E15" i="2" s="1"/>
  <c r="C15" i="2"/>
  <c r="E14" i="2"/>
  <c r="D14" i="2"/>
  <c r="C14" i="2"/>
  <c r="D13" i="2"/>
  <c r="E13" i="2" s="1"/>
  <c r="C13" i="2"/>
  <c r="D12" i="2"/>
  <c r="E12" i="2" s="1"/>
  <c r="C12" i="2"/>
  <c r="D11" i="2"/>
  <c r="E11" i="2" s="1"/>
  <c r="C11" i="2"/>
  <c r="D10" i="2"/>
  <c r="E10" i="2" s="1"/>
  <c r="C10" i="2"/>
  <c r="D9" i="2"/>
  <c r="E9" i="2" s="1"/>
  <c r="C9" i="2"/>
  <c r="E8" i="2"/>
  <c r="D8" i="2"/>
  <c r="C8" i="2"/>
  <c r="D7" i="2"/>
  <c r="E7" i="2" s="1"/>
  <c r="C7" i="2"/>
  <c r="D6" i="2"/>
  <c r="E6" i="2" s="1"/>
  <c r="C6" i="2"/>
  <c r="D5" i="2"/>
  <c r="E5" i="2" s="1"/>
  <c r="C5" i="2"/>
  <c r="D4" i="2"/>
  <c r="E4" i="2" s="1"/>
  <c r="C4" i="2"/>
  <c r="D3" i="2"/>
  <c r="E3" i="2" s="1"/>
  <c r="C3" i="2"/>
  <c r="D2" i="2"/>
  <c r="E2" i="2" s="1"/>
  <c r="C2" i="2"/>
  <c r="F5" i="6" l="1"/>
  <c r="J2" i="6"/>
  <c r="C4" i="13" l="1"/>
  <c r="G2" i="13"/>
  <c r="E9" i="12"/>
  <c r="B9" i="12"/>
  <c r="B5" i="12"/>
  <c r="I2" i="12"/>
  <c r="B9" i="16"/>
  <c r="B5" i="16"/>
  <c r="H2" i="16"/>
  <c r="B10" i="16" l="1"/>
  <c r="H11" i="16"/>
  <c r="G11" i="16"/>
  <c r="F11" i="16"/>
  <c r="D11" i="16"/>
  <c r="C11" i="16"/>
  <c r="B11" i="16" l="1"/>
  <c r="H38" i="6" l="1"/>
  <c r="AC38" i="6" s="1"/>
  <c r="K57" i="6"/>
  <c r="Y34" i="6"/>
  <c r="Y42" i="6"/>
  <c r="Y43" i="6"/>
  <c r="Y44" i="6"/>
  <c r="Y45" i="6"/>
  <c r="Y46" i="6"/>
  <c r="Y47" i="6"/>
  <c r="Y48" i="6"/>
  <c r="Y49" i="6"/>
  <c r="Y50" i="6"/>
  <c r="Y51" i="6"/>
  <c r="Y52" i="6"/>
  <c r="Y53" i="6"/>
  <c r="Y54" i="6"/>
  <c r="Y55" i="6"/>
  <c r="Y56" i="6"/>
  <c r="Y58" i="6"/>
  <c r="Y59" i="6"/>
  <c r="Y60" i="6"/>
  <c r="Y61" i="6"/>
  <c r="Y62" i="6"/>
  <c r="Y63" i="6"/>
  <c r="Y64" i="6"/>
  <c r="Y65" i="6"/>
  <c r="Y66" i="6"/>
  <c r="Y67" i="6"/>
  <c r="Y68" i="6"/>
  <c r="Y21" i="6"/>
  <c r="Y22" i="6"/>
  <c r="Y23" i="6"/>
  <c r="Y24" i="6"/>
  <c r="Y25" i="6"/>
  <c r="Y26" i="6"/>
  <c r="Y27" i="6"/>
  <c r="Y28" i="6"/>
  <c r="Y29" i="6"/>
  <c r="Y30" i="6"/>
  <c r="T23" i="6" l="1"/>
  <c r="K21" i="6"/>
  <c r="H20" i="6"/>
  <c r="AC20" i="6" l="1"/>
  <c r="A27" i="6"/>
  <c r="A34" i="6"/>
  <c r="A42" i="6"/>
  <c r="A43" i="6"/>
  <c r="A44" i="6"/>
  <c r="A45" i="6"/>
  <c r="A46" i="6"/>
  <c r="A47" i="6"/>
  <c r="A48" i="6"/>
  <c r="A49" i="6"/>
  <c r="A50" i="6"/>
  <c r="A51" i="6"/>
  <c r="A52" i="6"/>
  <c r="A53" i="6"/>
  <c r="A54" i="6"/>
  <c r="A55" i="6"/>
  <c r="A56" i="6"/>
  <c r="A58" i="6"/>
  <c r="A59" i="6"/>
  <c r="A60" i="6"/>
  <c r="A61" i="6"/>
  <c r="A62" i="6"/>
  <c r="A63" i="6"/>
  <c r="A64" i="6"/>
  <c r="A65" i="6"/>
  <c r="A66" i="6"/>
  <c r="A67" i="6"/>
  <c r="A68" i="6"/>
  <c r="K23" i="6" l="1"/>
  <c r="T26" i="6" l="1"/>
  <c r="T28" i="6"/>
  <c r="T33" i="6"/>
  <c r="T40" i="6"/>
  <c r="T41" i="6"/>
  <c r="T43" i="6"/>
  <c r="T44" i="6"/>
  <c r="T45" i="6"/>
  <c r="T46" i="6"/>
  <c r="T47" i="6"/>
  <c r="T48" i="6"/>
  <c r="T49" i="6"/>
  <c r="T50" i="6"/>
  <c r="T51" i="6"/>
  <c r="T52" i="6"/>
  <c r="T53" i="6"/>
  <c r="T54" i="6"/>
  <c r="T55" i="6"/>
  <c r="T56" i="6"/>
  <c r="T57" i="6"/>
  <c r="T58" i="6"/>
  <c r="T59" i="6"/>
  <c r="T60" i="6"/>
  <c r="T61" i="6"/>
  <c r="T62" i="6"/>
  <c r="T63" i="6"/>
  <c r="T64" i="6"/>
  <c r="T65" i="6"/>
  <c r="T66" i="6"/>
  <c r="T67" i="6"/>
  <c r="T68" i="6"/>
  <c r="Z20" i="6"/>
  <c r="AB20" i="6" s="1"/>
  <c r="Y20" i="6" s="1"/>
  <c r="V23" i="6" l="1"/>
  <c r="W23" i="6" s="1"/>
  <c r="B23" i="6" l="1"/>
  <c r="B6" i="13" l="1"/>
  <c r="U21" i="6" l="1"/>
  <c r="U22" i="6"/>
  <c r="U23" i="6"/>
  <c r="U24" i="6"/>
  <c r="U25" i="6"/>
  <c r="U26" i="6"/>
  <c r="U27" i="6"/>
  <c r="U28" i="6"/>
  <c r="U29" i="6"/>
  <c r="U30" i="6"/>
  <c r="U31" i="6"/>
  <c r="U32" i="6"/>
  <c r="U33" i="6"/>
  <c r="U34" i="6"/>
  <c r="U35" i="6"/>
  <c r="U36" i="6"/>
  <c r="U37" i="6"/>
  <c r="U38" i="6"/>
  <c r="U39" i="6"/>
  <c r="U40" i="6"/>
  <c r="U41" i="6"/>
  <c r="U42" i="6"/>
  <c r="U43" i="6"/>
  <c r="U44" i="6"/>
  <c r="U45" i="6"/>
  <c r="U46" i="6"/>
  <c r="U47" i="6"/>
  <c r="U48" i="6"/>
  <c r="U49" i="6"/>
  <c r="U50" i="6"/>
  <c r="U51" i="6"/>
  <c r="U52" i="6"/>
  <c r="U53" i="6"/>
  <c r="U54" i="6"/>
  <c r="U55" i="6"/>
  <c r="U56" i="6"/>
  <c r="U57" i="6"/>
  <c r="U58" i="6"/>
  <c r="U59" i="6"/>
  <c r="U60" i="6"/>
  <c r="U61" i="6"/>
  <c r="U62" i="6"/>
  <c r="U63" i="6"/>
  <c r="U64" i="6"/>
  <c r="U65" i="6"/>
  <c r="U66" i="6"/>
  <c r="U67" i="6"/>
  <c r="U68" i="6"/>
  <c r="U20" i="6"/>
  <c r="Z21" i="6"/>
  <c r="AB21" i="6" s="1"/>
  <c r="Z22" i="6"/>
  <c r="AB22" i="6" s="1"/>
  <c r="Z23" i="6"/>
  <c r="AB23" i="6" s="1"/>
  <c r="Z24" i="6"/>
  <c r="AB24" i="6" s="1"/>
  <c r="Z25" i="6"/>
  <c r="Z26" i="6"/>
  <c r="Z27" i="6"/>
  <c r="AB27" i="6" s="1"/>
  <c r="Z28" i="6"/>
  <c r="Z29" i="6"/>
  <c r="Z30" i="6"/>
  <c r="Z31" i="6"/>
  <c r="AB31" i="6" s="1"/>
  <c r="Y31" i="6" s="1"/>
  <c r="A31" i="6" s="1"/>
  <c r="Z32" i="6"/>
  <c r="AB32" i="6" s="1"/>
  <c r="Y32" i="6" s="1"/>
  <c r="A32" i="6" s="1"/>
  <c r="Z33" i="6"/>
  <c r="AB33" i="6" s="1"/>
  <c r="Y33" i="6" s="1"/>
  <c r="A33" i="6" s="1"/>
  <c r="Z34" i="6"/>
  <c r="AB34" i="6" s="1"/>
  <c r="Z35" i="6"/>
  <c r="AB35" i="6" s="1"/>
  <c r="Y35" i="6" s="1"/>
  <c r="A35" i="6" s="1"/>
  <c r="Z36" i="6"/>
  <c r="AB36" i="6" s="1"/>
  <c r="Y36" i="6" s="1"/>
  <c r="A36" i="6" s="1"/>
  <c r="Z37" i="6"/>
  <c r="AB37" i="6" s="1"/>
  <c r="Y37" i="6" s="1"/>
  <c r="A37" i="6" s="1"/>
  <c r="Z38" i="6"/>
  <c r="AB38" i="6" s="1"/>
  <c r="Y38" i="6" s="1"/>
  <c r="A38" i="6" s="1"/>
  <c r="Z39" i="6"/>
  <c r="AB39" i="6" s="1"/>
  <c r="Y39" i="6" s="1"/>
  <c r="A39" i="6" s="1"/>
  <c r="Z40" i="6"/>
  <c r="AB40" i="6" s="1"/>
  <c r="Z41" i="6"/>
  <c r="AB41" i="6" s="1"/>
  <c r="Y41" i="6" s="1"/>
  <c r="A41" i="6" s="1"/>
  <c r="Z42" i="6"/>
  <c r="AB42" i="6" s="1"/>
  <c r="Z43" i="6"/>
  <c r="AB43" i="6" s="1"/>
  <c r="Z44" i="6"/>
  <c r="AB44" i="6" s="1"/>
  <c r="Z45" i="6"/>
  <c r="AB45" i="6" s="1"/>
  <c r="Z46" i="6"/>
  <c r="AB46" i="6" s="1"/>
  <c r="Z47" i="6"/>
  <c r="AB47" i="6" s="1"/>
  <c r="Z48" i="6"/>
  <c r="AB48" i="6" s="1"/>
  <c r="Z49" i="6"/>
  <c r="AB49" i="6" s="1"/>
  <c r="Z50" i="6"/>
  <c r="AB50" i="6" s="1"/>
  <c r="Z51" i="6"/>
  <c r="AB51" i="6" s="1"/>
  <c r="Z52" i="6"/>
  <c r="AB52" i="6" s="1"/>
  <c r="Z53" i="6"/>
  <c r="AB53" i="6" s="1"/>
  <c r="Z54" i="6"/>
  <c r="AB54" i="6" s="1"/>
  <c r="Z55" i="6"/>
  <c r="AB55" i="6" s="1"/>
  <c r="Z56" i="6"/>
  <c r="AB56" i="6" s="1"/>
  <c r="Z57" i="6"/>
  <c r="AB57" i="6" s="1"/>
  <c r="Y57" i="6" s="1"/>
  <c r="A57" i="6" s="1"/>
  <c r="Z58" i="6"/>
  <c r="AB58" i="6" s="1"/>
  <c r="Z59" i="6"/>
  <c r="AB59" i="6" s="1"/>
  <c r="Z60" i="6"/>
  <c r="AB60" i="6" s="1"/>
  <c r="Z61" i="6"/>
  <c r="AB61" i="6" s="1"/>
  <c r="Z62" i="6"/>
  <c r="AB62" i="6" s="1"/>
  <c r="Z63" i="6"/>
  <c r="AB63" i="6" s="1"/>
  <c r="Z64" i="6"/>
  <c r="AB64" i="6" s="1"/>
  <c r="Z65" i="6"/>
  <c r="AB65" i="6" s="1"/>
  <c r="Z66" i="6"/>
  <c r="AB66" i="6" s="1"/>
  <c r="Z67" i="6"/>
  <c r="AB67" i="6" s="1"/>
  <c r="Z68" i="6"/>
  <c r="AB68" i="6" s="1"/>
  <c r="A30" i="6" l="1"/>
  <c r="AB30" i="6"/>
  <c r="A26" i="6"/>
  <c r="AB26" i="6"/>
  <c r="A29" i="6"/>
  <c r="AB29" i="6"/>
  <c r="A25" i="6"/>
  <c r="AB25" i="6"/>
  <c r="A28" i="6"/>
  <c r="AB28" i="6"/>
  <c r="M10" i="6"/>
  <c r="J16" i="6"/>
  <c r="J15" i="6"/>
  <c r="J13" i="6"/>
  <c r="J12" i="6"/>
  <c r="J10" i="6"/>
  <c r="J7" i="6" l="1"/>
  <c r="H7" i="6"/>
  <c r="F7" i="6"/>
  <c r="T20" i="6" l="1"/>
  <c r="A20" i="6" l="1"/>
  <c r="K20" i="6" l="1"/>
  <c r="E9" i="16" l="1"/>
  <c r="H21" i="6" l="1"/>
  <c r="AC21" i="6" s="1"/>
  <c r="H22" i="6"/>
  <c r="AC22" i="6" s="1"/>
  <c r="H23" i="6"/>
  <c r="AC23" i="6" s="1"/>
  <c r="H24" i="6"/>
  <c r="AC24" i="6" s="1"/>
  <c r="H25" i="6"/>
  <c r="H26" i="6"/>
  <c r="AC26" i="6" s="1"/>
  <c r="H27" i="6"/>
  <c r="H28" i="6"/>
  <c r="AC28" i="6" s="1"/>
  <c r="H29" i="6"/>
  <c r="H30" i="6"/>
  <c r="H31" i="6"/>
  <c r="H32" i="6"/>
  <c r="H33" i="6"/>
  <c r="AC33" i="6" s="1"/>
  <c r="H34" i="6"/>
  <c r="H35" i="6"/>
  <c r="H36" i="6"/>
  <c r="H37" i="6"/>
  <c r="T38" i="6"/>
  <c r="H39" i="6"/>
  <c r="H40" i="6"/>
  <c r="H41" i="6"/>
  <c r="AC41" i="6" s="1"/>
  <c r="H42" i="6"/>
  <c r="H43" i="6"/>
  <c r="AC43" i="6" s="1"/>
  <c r="H44" i="6"/>
  <c r="AC44" i="6" s="1"/>
  <c r="H45" i="6"/>
  <c r="AC45" i="6" s="1"/>
  <c r="H46" i="6"/>
  <c r="AC46" i="6" s="1"/>
  <c r="H47" i="6"/>
  <c r="AC47" i="6" s="1"/>
  <c r="H48" i="6"/>
  <c r="AC48" i="6" s="1"/>
  <c r="H49" i="6"/>
  <c r="AC49" i="6" s="1"/>
  <c r="H50" i="6"/>
  <c r="AC50" i="6" s="1"/>
  <c r="H51" i="6"/>
  <c r="AC51" i="6" s="1"/>
  <c r="H52" i="6"/>
  <c r="AC52" i="6" s="1"/>
  <c r="H53" i="6"/>
  <c r="AC53" i="6" s="1"/>
  <c r="H54" i="6"/>
  <c r="AC54" i="6" s="1"/>
  <c r="H55" i="6"/>
  <c r="AC55" i="6" s="1"/>
  <c r="H56" i="6"/>
  <c r="AC56" i="6" s="1"/>
  <c r="H57" i="6"/>
  <c r="AC57" i="6" s="1"/>
  <c r="H58" i="6"/>
  <c r="AC58" i="6" s="1"/>
  <c r="H59" i="6"/>
  <c r="AC59" i="6" s="1"/>
  <c r="H60" i="6"/>
  <c r="AC60" i="6" s="1"/>
  <c r="H61" i="6"/>
  <c r="AC61" i="6" s="1"/>
  <c r="H62" i="6"/>
  <c r="AC62" i="6" s="1"/>
  <c r="H63" i="6"/>
  <c r="AC63" i="6" s="1"/>
  <c r="H64" i="6"/>
  <c r="AC64" i="6" s="1"/>
  <c r="H65" i="6"/>
  <c r="AC65" i="6" s="1"/>
  <c r="H66" i="6"/>
  <c r="AC66" i="6" s="1"/>
  <c r="H67" i="6"/>
  <c r="AC67" i="6" s="1"/>
  <c r="H68" i="6"/>
  <c r="AC68" i="6" s="1"/>
  <c r="T42" i="6" l="1"/>
  <c r="AC42" i="6"/>
  <c r="T27" i="6"/>
  <c r="AC27" i="6"/>
  <c r="T30" i="6"/>
  <c r="AC30" i="6"/>
  <c r="T29" i="6"/>
  <c r="AC29" i="6"/>
  <c r="T25" i="6"/>
  <c r="AC25" i="6"/>
  <c r="AC40" i="6"/>
  <c r="Y40" i="6"/>
  <c r="A40" i="6" s="1"/>
  <c r="T39" i="6"/>
  <c r="AC39" i="6"/>
  <c r="T37" i="6"/>
  <c r="AC37" i="6"/>
  <c r="T36" i="6"/>
  <c r="AC36" i="6"/>
  <c r="T35" i="6"/>
  <c r="AC35" i="6"/>
  <c r="T34" i="6"/>
  <c r="AC34" i="6"/>
  <c r="T32" i="6"/>
  <c r="AC32" i="6"/>
  <c r="T31" i="6"/>
  <c r="AC31" i="6"/>
  <c r="T24" i="6"/>
  <c r="A24" i="6"/>
  <c r="T21" i="6"/>
  <c r="A23" i="6"/>
  <c r="T22" i="6"/>
  <c r="A21" i="6" l="1"/>
  <c r="K16" i="16"/>
  <c r="A22" i="6"/>
  <c r="AA21" i="6"/>
  <c r="AA22" i="6"/>
  <c r="AA23" i="6"/>
  <c r="AA24" i="6"/>
  <c r="AA25" i="6"/>
  <c r="AA26" i="6"/>
  <c r="AA27" i="6"/>
  <c r="AA28" i="6"/>
  <c r="AA29" i="6"/>
  <c r="AA30" i="6"/>
  <c r="AA31" i="6"/>
  <c r="AA32" i="6"/>
  <c r="AA33" i="6"/>
  <c r="AA34" i="6"/>
  <c r="AA35" i="6"/>
  <c r="AA36" i="6"/>
  <c r="AA37" i="6"/>
  <c r="AA38" i="6"/>
  <c r="AA39" i="6"/>
  <c r="AA40" i="6"/>
  <c r="AA41" i="6"/>
  <c r="AA42" i="6"/>
  <c r="AA43" i="6"/>
  <c r="AA44" i="6"/>
  <c r="AA45" i="6"/>
  <c r="AA46" i="6"/>
  <c r="AA47" i="6"/>
  <c r="AA48" i="6"/>
  <c r="AA49" i="6"/>
  <c r="AA50" i="6"/>
  <c r="AA51" i="6"/>
  <c r="AA52" i="6"/>
  <c r="AA53" i="6"/>
  <c r="AA54" i="6"/>
  <c r="AA55" i="6"/>
  <c r="AA56" i="6"/>
  <c r="AA57" i="6"/>
  <c r="AA58" i="6"/>
  <c r="AA59" i="6"/>
  <c r="AA60" i="6"/>
  <c r="AA61" i="6"/>
  <c r="AA62" i="6"/>
  <c r="AA63" i="6"/>
  <c r="AA64" i="6"/>
  <c r="AA65" i="6"/>
  <c r="AA66" i="6"/>
  <c r="AA67" i="6"/>
  <c r="AA68" i="6"/>
  <c r="AA20" i="6"/>
  <c r="V21" i="6"/>
  <c r="W21" i="6" s="1"/>
  <c r="V22" i="6"/>
  <c r="W22" i="6" s="1"/>
  <c r="V24" i="6"/>
  <c r="V25" i="6"/>
  <c r="V26" i="6"/>
  <c r="W26" i="6" s="1"/>
  <c r="V27" i="6"/>
  <c r="W27" i="6" s="1"/>
  <c r="V28" i="6"/>
  <c r="W28" i="6" s="1"/>
  <c r="V29" i="6"/>
  <c r="W29" i="6" s="1"/>
  <c r="V30" i="6"/>
  <c r="W30" i="6" s="1"/>
  <c r="V31" i="6"/>
  <c r="W31" i="6" s="1"/>
  <c r="V32" i="6"/>
  <c r="W32" i="6" s="1"/>
  <c r="V33" i="6"/>
  <c r="W33" i="6" s="1"/>
  <c r="V34" i="6"/>
  <c r="W34" i="6" s="1"/>
  <c r="V35" i="6"/>
  <c r="W35" i="6" s="1"/>
  <c r="V36" i="6"/>
  <c r="W36" i="6" s="1"/>
  <c r="V37" i="6"/>
  <c r="W37" i="6" s="1"/>
  <c r="V38" i="6"/>
  <c r="W38" i="6" s="1"/>
  <c r="V39" i="6"/>
  <c r="W39" i="6" s="1"/>
  <c r="V40" i="6"/>
  <c r="W40" i="6" s="1"/>
  <c r="V41" i="6"/>
  <c r="W41" i="6" s="1"/>
  <c r="V42" i="6"/>
  <c r="W42" i="6" s="1"/>
  <c r="V43" i="6"/>
  <c r="W43" i="6" s="1"/>
  <c r="V44" i="6"/>
  <c r="W44" i="6" s="1"/>
  <c r="V45" i="6"/>
  <c r="W45" i="6" s="1"/>
  <c r="V46" i="6"/>
  <c r="W46" i="6" s="1"/>
  <c r="V47" i="6"/>
  <c r="W47" i="6" s="1"/>
  <c r="V48" i="6"/>
  <c r="W48" i="6" s="1"/>
  <c r="V49" i="6"/>
  <c r="W49" i="6" s="1"/>
  <c r="V50" i="6"/>
  <c r="W50" i="6" s="1"/>
  <c r="V51" i="6"/>
  <c r="W51" i="6" s="1"/>
  <c r="V52" i="6"/>
  <c r="W52" i="6" s="1"/>
  <c r="V53" i="6"/>
  <c r="W53" i="6" s="1"/>
  <c r="V54" i="6"/>
  <c r="W54" i="6" s="1"/>
  <c r="V55" i="6"/>
  <c r="W55" i="6" s="1"/>
  <c r="V56" i="6"/>
  <c r="W56" i="6" s="1"/>
  <c r="V57" i="6"/>
  <c r="W57" i="6" s="1"/>
  <c r="V58" i="6"/>
  <c r="W58" i="6" s="1"/>
  <c r="V59" i="6"/>
  <c r="W59" i="6" s="1"/>
  <c r="V60" i="6"/>
  <c r="W60" i="6" s="1"/>
  <c r="V61" i="6"/>
  <c r="W61" i="6" s="1"/>
  <c r="V62" i="6"/>
  <c r="W62" i="6" s="1"/>
  <c r="V63" i="6"/>
  <c r="W63" i="6" s="1"/>
  <c r="V64" i="6"/>
  <c r="W64" i="6" s="1"/>
  <c r="V65" i="6"/>
  <c r="W65" i="6" s="1"/>
  <c r="V66" i="6"/>
  <c r="W66" i="6" s="1"/>
  <c r="V67" i="6"/>
  <c r="W67" i="6" s="1"/>
  <c r="V68" i="6"/>
  <c r="W68" i="6" s="1"/>
  <c r="V20" i="6"/>
  <c r="W20" i="6" s="1"/>
  <c r="A16" i="16" l="1"/>
  <c r="B25" i="6"/>
  <c r="W25" i="6"/>
  <c r="W24" i="6"/>
  <c r="B24" i="6" s="1"/>
  <c r="B42" i="6"/>
  <c r="B38" i="6"/>
  <c r="B34" i="6"/>
  <c r="B30" i="6"/>
  <c r="B26" i="6"/>
  <c r="B21" i="6"/>
  <c r="B20" i="6"/>
  <c r="B41" i="6"/>
  <c r="B37" i="6"/>
  <c r="B33" i="6"/>
  <c r="B29" i="6"/>
  <c r="B40" i="6"/>
  <c r="B36" i="6"/>
  <c r="B32" i="6"/>
  <c r="B28" i="6"/>
  <c r="B39" i="6"/>
  <c r="B35" i="6"/>
  <c r="B31" i="6"/>
  <c r="B27" i="6"/>
  <c r="B22" i="6"/>
  <c r="I69" i="6"/>
  <c r="K37" i="6"/>
  <c r="K38" i="6"/>
  <c r="K39" i="6"/>
  <c r="K40" i="6"/>
  <c r="K41" i="6"/>
  <c r="K42" i="6"/>
  <c r="K43" i="6"/>
  <c r="K44" i="6"/>
  <c r="K45" i="6"/>
  <c r="K46" i="6"/>
  <c r="K47" i="6"/>
  <c r="K48" i="6"/>
  <c r="K49" i="6"/>
  <c r="K50" i="6"/>
  <c r="K51" i="6"/>
  <c r="K52" i="6"/>
  <c r="K53" i="6"/>
  <c r="K54" i="6"/>
  <c r="K55" i="6"/>
  <c r="K56" i="6"/>
  <c r="K58" i="6"/>
  <c r="K59" i="6"/>
  <c r="K60" i="6"/>
  <c r="K61" i="6"/>
  <c r="K62" i="6"/>
  <c r="K63" i="6"/>
  <c r="K64" i="6"/>
  <c r="K65" i="6"/>
  <c r="K66" i="6"/>
  <c r="K67" i="6"/>
  <c r="K68" i="6"/>
  <c r="H20" i="13"/>
  <c r="H19" i="13"/>
  <c r="D19" i="13"/>
  <c r="H18" i="13"/>
  <c r="D18" i="13"/>
  <c r="H17" i="13"/>
  <c r="D17" i="13"/>
  <c r="H16" i="13"/>
  <c r="D16" i="13"/>
  <c r="H15" i="13"/>
  <c r="D15" i="13"/>
  <c r="H14" i="13"/>
  <c r="D14" i="13"/>
  <c r="H13" i="13"/>
  <c r="D13" i="13"/>
  <c r="H22" i="13" l="1"/>
  <c r="D16" i="16"/>
  <c r="B16" i="16" s="1"/>
  <c r="D22" i="13"/>
  <c r="H24" i="13" s="1"/>
  <c r="K11" i="6" s="1"/>
  <c r="F16" i="16" l="1"/>
  <c r="J69" i="6"/>
  <c r="K14" i="6" s="1"/>
  <c r="J14" i="6" s="1"/>
  <c r="K16" i="6" l="1"/>
  <c r="L19" i="12"/>
  <c r="K22" i="6" l="1"/>
  <c r="K24" i="6" s="1"/>
  <c r="K25" i="6" s="1"/>
  <c r="K26" i="6" s="1"/>
  <c r="K27" i="6" s="1"/>
  <c r="K28" i="6" s="1"/>
  <c r="K29" i="6" s="1"/>
  <c r="K30" i="6" s="1"/>
  <c r="K31" i="6" s="1"/>
  <c r="K32" i="6" s="1"/>
  <c r="K33" i="6" s="1"/>
  <c r="K34" i="6" s="1"/>
  <c r="K35" i="6" s="1"/>
  <c r="K36" i="6" s="1"/>
  <c r="L54" i="12"/>
  <c r="L31" i="12"/>
  <c r="L30" i="12"/>
  <c r="L37" i="12"/>
  <c r="L62" i="12"/>
  <c r="L46" i="12"/>
  <c r="L59" i="12"/>
  <c r="L28" i="12"/>
  <c r="L43" i="12"/>
  <c r="L58" i="12"/>
  <c r="L50" i="12"/>
  <c r="L38" i="12"/>
  <c r="L22" i="12"/>
  <c r="L47" i="12"/>
  <c r="L56" i="12"/>
  <c r="L53" i="12"/>
  <c r="L21" i="12"/>
  <c r="L52" i="12"/>
  <c r="L42" i="12"/>
  <c r="L34" i="12"/>
  <c r="L26" i="12"/>
  <c r="L18" i="12"/>
  <c r="L55" i="12"/>
  <c r="L39" i="12"/>
  <c r="L23" i="12"/>
  <c r="L40" i="12"/>
  <c r="L61" i="12"/>
  <c r="L45" i="12"/>
  <c r="L29" i="12"/>
  <c r="L63" i="12"/>
  <c r="L27" i="12"/>
  <c r="L32" i="12"/>
  <c r="L64" i="12"/>
  <c r="L48" i="12"/>
  <c r="L36" i="12"/>
  <c r="L20" i="12"/>
  <c r="L57" i="12"/>
  <c r="L49" i="12"/>
  <c r="L41" i="12"/>
  <c r="L33" i="12"/>
  <c r="L25" i="12"/>
  <c r="L17" i="12"/>
  <c r="L51" i="12"/>
  <c r="L35" i="12"/>
  <c r="L60" i="12"/>
  <c r="L44" i="12"/>
  <c r="L16" i="12"/>
  <c r="M16" i="12" s="1"/>
  <c r="L24" i="12"/>
  <c r="M17" i="12" l="1"/>
  <c r="M34" i="12"/>
  <c r="M39" i="12"/>
  <c r="M47" i="12"/>
  <c r="M38" i="12"/>
  <c r="M55" i="12"/>
  <c r="M43" i="12"/>
  <c r="M62" i="12"/>
  <c r="M48" i="12"/>
  <c r="M56" i="12"/>
  <c r="M40" i="12"/>
  <c r="M42" i="12"/>
  <c r="M61" i="12"/>
  <c r="M57" i="12"/>
  <c r="M49" i="12"/>
  <c r="M46" i="12"/>
  <c r="M59" i="12"/>
  <c r="M37" i="12"/>
  <c r="M41" i="12"/>
  <c r="M60" i="12"/>
  <c r="M50" i="12"/>
  <c r="M63" i="12"/>
  <c r="M54" i="12"/>
  <c r="M52" i="12"/>
  <c r="M58" i="12"/>
  <c r="M64" i="12"/>
  <c r="M35" i="12"/>
  <c r="M51" i="12"/>
  <c r="M45" i="12"/>
  <c r="M53" i="12"/>
  <c r="M44" i="12"/>
  <c r="M36" i="12"/>
  <c r="M18" i="12" l="1"/>
  <c r="M19" i="12" l="1"/>
  <c r="M20" i="12" l="1"/>
  <c r="M21" i="12" l="1"/>
  <c r="M22" i="12" l="1"/>
  <c r="M23" i="12" s="1"/>
  <c r="M24" i="12" s="1"/>
  <c r="M25" i="12" s="1"/>
  <c r="M26" i="12" s="1"/>
  <c r="M27" i="12" s="1"/>
  <c r="M28" i="12" l="1"/>
  <c r="M29" i="12" s="1"/>
  <c r="M30" i="12" l="1"/>
  <c r="M31" i="12" s="1"/>
  <c r="M32" i="12" s="1"/>
  <c r="M33" i="12" s="1"/>
  <c r="N28" i="12" s="1"/>
  <c r="A28" i="12" s="1"/>
  <c r="A37" i="12" s="1"/>
  <c r="N16" i="12" l="1"/>
  <c r="E16" i="12" s="1"/>
  <c r="H16" i="12" s="1"/>
  <c r="N21" i="12"/>
  <c r="A21" i="12" s="1"/>
  <c r="N26" i="12"/>
  <c r="E26" i="12" s="1"/>
  <c r="H26" i="12" s="1"/>
  <c r="N29" i="12"/>
  <c r="E29" i="12" s="1"/>
  <c r="H29" i="12" s="1"/>
  <c r="N30" i="12"/>
  <c r="A30" i="12" s="1"/>
  <c r="N23" i="12"/>
  <c r="A23" i="12" s="1"/>
  <c r="N27" i="12"/>
  <c r="A27" i="12" s="1"/>
  <c r="N17" i="12"/>
  <c r="O17" i="12" s="1"/>
  <c r="B17" i="12" s="1"/>
  <c r="N22" i="12"/>
  <c r="O22" i="12" s="1"/>
  <c r="B22" i="12" s="1"/>
  <c r="N19" i="12"/>
  <c r="A19" i="12" s="1"/>
  <c r="N18" i="12"/>
  <c r="O18" i="12" s="1"/>
  <c r="B18" i="12" s="1"/>
  <c r="N25" i="12"/>
  <c r="O25" i="12" s="1"/>
  <c r="B25" i="12" s="1"/>
  <c r="N24" i="12"/>
  <c r="E24" i="12" s="1"/>
  <c r="H24" i="12" s="1"/>
  <c r="N31" i="12"/>
  <c r="A31" i="12" s="1"/>
  <c r="A38" i="12" s="1"/>
  <c r="N20" i="12"/>
  <c r="A20" i="12" s="1"/>
  <c r="E28" i="12"/>
  <c r="H28" i="12" s="1"/>
  <c r="O28" i="12"/>
  <c r="B28" i="12" s="1"/>
  <c r="A22" i="12" l="1"/>
  <c r="O30" i="12"/>
  <c r="B30" i="12" s="1"/>
  <c r="E30" i="12"/>
  <c r="H30" i="12" s="1"/>
  <c r="O16" i="12"/>
  <c r="B16" i="12" s="1"/>
  <c r="A24" i="12"/>
  <c r="A16" i="12"/>
  <c r="O24" i="12"/>
  <c r="B24" i="12" s="1"/>
  <c r="E22" i="12"/>
  <c r="H22" i="12" s="1"/>
  <c r="O27" i="12"/>
  <c r="B27" i="12" s="1"/>
  <c r="A18" i="12"/>
  <c r="A29" i="12"/>
  <c r="A26" i="12"/>
  <c r="E27" i="12"/>
  <c r="H27" i="12" s="1"/>
  <c r="O19" i="12"/>
  <c r="B19" i="12" s="1"/>
  <c r="E31" i="12"/>
  <c r="H31" i="12" s="1"/>
  <c r="O23" i="12"/>
  <c r="B23" i="12" s="1"/>
  <c r="E18" i="12"/>
  <c r="H18" i="12" s="1"/>
  <c r="O20" i="12"/>
  <c r="B20" i="12" s="1"/>
  <c r="E20" i="12"/>
  <c r="H20" i="12" s="1"/>
  <c r="O26" i="12"/>
  <c r="B26" i="12" s="1"/>
  <c r="O31" i="12"/>
  <c r="B31" i="12" s="1"/>
  <c r="E25" i="12"/>
  <c r="H25" i="12" s="1"/>
  <c r="E19" i="12"/>
  <c r="H19" i="12" s="1"/>
  <c r="A25" i="12"/>
  <c r="E17" i="12"/>
  <c r="H17" i="12" s="1"/>
  <c r="E23" i="12"/>
  <c r="H23" i="12" s="1"/>
  <c r="O21" i="12"/>
  <c r="B21" i="12" s="1"/>
  <c r="E21" i="12"/>
  <c r="H21" i="12" s="1"/>
  <c r="A17" i="12"/>
  <c r="O29" i="12"/>
  <c r="B29" i="12" s="1"/>
  <c r="A32" i="12" l="1"/>
  <c r="B32" i="12" s="1"/>
  <c r="L16" i="16" l="1"/>
  <c r="K17" i="16" l="1"/>
  <c r="A17" i="16" s="1"/>
  <c r="G16" i="16"/>
  <c r="D17" i="16" l="1"/>
  <c r="B17" i="16"/>
  <c r="F17" i="16"/>
  <c r="L17" i="16"/>
  <c r="K18" i="16" s="1"/>
  <c r="L18" i="16" s="1"/>
  <c r="G17" i="16" l="1"/>
  <c r="K19" i="16"/>
  <c r="A18" i="16"/>
  <c r="D18" i="16" l="1"/>
  <c r="B18" i="16"/>
  <c r="G18" i="16"/>
  <c r="A19" i="16"/>
  <c r="L19" i="16"/>
  <c r="D19" i="16" l="1"/>
  <c r="B19" i="16"/>
  <c r="G19" i="16"/>
  <c r="F18" i="16"/>
  <c r="K20" i="16"/>
  <c r="F19" i="16" l="1"/>
  <c r="A20" i="16"/>
  <c r="L20" i="16"/>
  <c r="D20" i="16" l="1"/>
  <c r="B20" i="16"/>
  <c r="F20" i="16"/>
  <c r="K21" i="16"/>
  <c r="G20" i="16" l="1"/>
  <c r="A21" i="16"/>
  <c r="L21" i="16"/>
  <c r="K22" i="16" s="1"/>
  <c r="D21" i="16" l="1"/>
  <c r="B21" i="16"/>
  <c r="G21" i="16"/>
  <c r="F21" i="16" l="1"/>
  <c r="A22" i="16"/>
  <c r="L22" i="16"/>
  <c r="K23" i="16" s="1"/>
  <c r="D22" i="16" l="1"/>
  <c r="B22" i="16"/>
  <c r="G22" i="16"/>
  <c r="F22" i="16"/>
  <c r="A23" i="16" l="1"/>
  <c r="L23" i="16"/>
  <c r="K24" i="16" s="1"/>
  <c r="D23" i="16" l="1"/>
  <c r="B23" i="16"/>
  <c r="G23" i="16"/>
  <c r="A24" i="16"/>
  <c r="L24" i="16"/>
  <c r="K25" i="16" s="1"/>
  <c r="F23" i="16"/>
  <c r="D24" i="16" l="1"/>
  <c r="B24" i="16"/>
  <c r="G24" i="16"/>
  <c r="A25" i="16"/>
  <c r="L25" i="16"/>
  <c r="K26" i="16" s="1"/>
  <c r="F24" i="16"/>
  <c r="D25" i="16" l="1"/>
  <c r="B25" i="16"/>
  <c r="G25" i="16"/>
  <c r="A26" i="16"/>
  <c r="L26" i="16"/>
  <c r="K27" i="16" s="1"/>
  <c r="F25" i="16"/>
  <c r="D26" i="16" l="1"/>
  <c r="B26" i="16"/>
  <c r="G26" i="16"/>
  <c r="A27" i="16"/>
  <c r="L27" i="16"/>
  <c r="K28" i="16" s="1"/>
  <c r="F26" i="16"/>
  <c r="D27" i="16" l="1"/>
  <c r="B27" i="16"/>
  <c r="G27" i="16"/>
  <c r="L28" i="16"/>
  <c r="K29" i="16" s="1"/>
  <c r="A28" i="16"/>
  <c r="B28" i="16" s="1"/>
  <c r="F27" i="16"/>
  <c r="D28" i="16" l="1"/>
  <c r="A37" i="16"/>
  <c r="G28" i="16"/>
  <c r="F28" i="16"/>
  <c r="A29" i="16"/>
  <c r="L29" i="16"/>
  <c r="K30" i="16" s="1"/>
  <c r="D29" i="16" l="1"/>
  <c r="B29" i="16"/>
  <c r="G29" i="16"/>
  <c r="A30" i="16"/>
  <c r="L30" i="16"/>
  <c r="K31" i="16" s="1"/>
  <c r="F29" i="16"/>
  <c r="D30" i="16" l="1"/>
  <c r="B30" i="16"/>
  <c r="G30" i="16"/>
  <c r="L31" i="16"/>
  <c r="A31" i="16"/>
  <c r="B31" i="16" s="1"/>
  <c r="F30" i="16"/>
  <c r="D31" i="16" l="1"/>
  <c r="F31" i="16" s="1"/>
  <c r="A38" i="16"/>
  <c r="K32" i="16"/>
  <c r="L32" i="16" s="1"/>
  <c r="G31" i="16"/>
  <c r="A32" i="16"/>
  <c r="B32" i="16" s="1"/>
  <c r="K33" i="16" l="1"/>
  <c r="L33" i="16" s="1"/>
  <c r="K34" i="16" l="1"/>
  <c r="L34" i="16" s="1"/>
  <c r="K35" i="16" l="1"/>
  <c r="L35" i="16" s="1"/>
  <c r="K36" i="16" l="1"/>
  <c r="L36" i="16" s="1"/>
  <c r="K37" i="16" l="1"/>
  <c r="L37" i="16" s="1"/>
  <c r="K38" i="16" l="1"/>
  <c r="L38" i="16" s="1"/>
  <c r="K39" i="16" l="1"/>
  <c r="L39" i="16" s="1"/>
  <c r="K40" i="16" l="1"/>
  <c r="L40" i="16" s="1"/>
  <c r="K41" i="16" l="1"/>
  <c r="L41" i="16" s="1"/>
  <c r="K42" i="16" l="1"/>
  <c r="L42" i="16" s="1"/>
  <c r="K43" i="16" l="1"/>
  <c r="L43" i="16" s="1"/>
  <c r="K44" i="16" l="1"/>
  <c r="L44" i="16" s="1"/>
  <c r="K45" i="16" l="1"/>
  <c r="L45" i="16" s="1"/>
  <c r="K46" i="16" l="1"/>
  <c r="L46" i="16" s="1"/>
  <c r="K47" i="16" l="1"/>
  <c r="L47" i="16" s="1"/>
  <c r="K48" i="16" l="1"/>
  <c r="L48" i="16" s="1"/>
  <c r="K49" i="16" l="1"/>
  <c r="L49" i="16" s="1"/>
  <c r="K50" i="16" l="1"/>
  <c r="L50" i="16" s="1"/>
  <c r="K51" i="16" l="1"/>
  <c r="L51" i="16" s="1"/>
  <c r="K52" i="16" l="1"/>
  <c r="L52" i="16" s="1"/>
  <c r="K53" i="16" l="1"/>
  <c r="L53" i="16" s="1"/>
  <c r="K54" i="16" l="1"/>
  <c r="L54" i="16" s="1"/>
  <c r="K55" i="16" l="1"/>
  <c r="L55" i="16" s="1"/>
  <c r="K56" i="16" l="1"/>
  <c r="L56" i="16" s="1"/>
  <c r="K57" i="16" l="1"/>
  <c r="L57" i="16" s="1"/>
  <c r="K58" i="16" l="1"/>
  <c r="L58" i="16" s="1"/>
  <c r="K59" i="16" l="1"/>
  <c r="L59" i="16" s="1"/>
  <c r="K60" i="16" l="1"/>
  <c r="L60" i="16" s="1"/>
  <c r="K61" i="16" l="1"/>
  <c r="L61" i="16" s="1"/>
  <c r="K62" i="16" l="1"/>
  <c r="L62" i="16" s="1"/>
  <c r="K63" i="16" l="1"/>
  <c r="L63" i="16" s="1"/>
  <c r="K64" i="16" l="1"/>
  <c r="L64" i="16" s="1"/>
</calcChain>
</file>

<file path=xl/comments1.xml><?xml version="1.0" encoding="utf-8"?>
<comments xmlns="http://schemas.openxmlformats.org/spreadsheetml/2006/main">
  <authors>
    <author>Stafast, Silvia</author>
    <author>Silvia Stafast</author>
  </authors>
  <commentList>
    <comment ref="A1" authorId="0">
      <text>
        <r>
          <rPr>
            <b/>
            <sz val="9"/>
            <color indexed="81"/>
            <rFont val="Segoe UI"/>
            <family val="2"/>
          </rPr>
          <t>Stafast, Silvia:</t>
        </r>
        <r>
          <rPr>
            <sz val="9"/>
            <color indexed="81"/>
            <rFont val="Segoe UI"/>
            <family val="2"/>
          </rPr>
          <t xml:space="preserve">
Formatierung für SVERWEIS prüfen - muss "codigo postal" sein!!!!!</t>
        </r>
      </text>
    </comment>
    <comment ref="C182" authorId="1">
      <text>
        <r>
          <rPr>
            <b/>
            <sz val="9"/>
            <color indexed="81"/>
            <rFont val="Segoe UI"/>
            <family val="2"/>
          </rPr>
          <t>Silvia Stafast:</t>
        </r>
        <r>
          <rPr>
            <sz val="9"/>
            <color indexed="81"/>
            <rFont val="Segoe UI"/>
            <family val="2"/>
          </rPr>
          <t xml:space="preserve">
Vorsicht - abweichende Formel!</t>
        </r>
      </text>
    </comment>
    <comment ref="C260" authorId="1">
      <text>
        <r>
          <rPr>
            <b/>
            <sz val="9"/>
            <color indexed="81"/>
            <rFont val="Segoe UI"/>
            <family val="2"/>
          </rPr>
          <t>Silvia Stafast:</t>
        </r>
        <r>
          <rPr>
            <sz val="9"/>
            <color indexed="81"/>
            <rFont val="Segoe UI"/>
            <family val="2"/>
          </rPr>
          <t xml:space="preserve">
Vorsicht - abweichende Formel!</t>
        </r>
      </text>
    </comment>
  </commentList>
</comments>
</file>

<file path=xl/sharedStrings.xml><?xml version="1.0" encoding="utf-8"?>
<sst xmlns="http://schemas.openxmlformats.org/spreadsheetml/2006/main" count="884" uniqueCount="540">
  <si>
    <t>Betrag</t>
  </si>
  <si>
    <t>IBAN:</t>
  </si>
  <si>
    <t>Bankname:</t>
  </si>
  <si>
    <t>AObj.</t>
  </si>
  <si>
    <t>RV</t>
  </si>
  <si>
    <t>RT</t>
  </si>
  <si>
    <t>Version</t>
  </si>
  <si>
    <t>Datum</t>
  </si>
  <si>
    <t>Beschreibung der Änderung</t>
  </si>
  <si>
    <r>
      <rPr>
        <b/>
        <sz val="13"/>
        <rFont val="Calibri"/>
        <family val="2"/>
        <scheme val="minor"/>
      </rPr>
      <t>EVANGELISCHE KIRCHE</t>
    </r>
    <r>
      <rPr>
        <b/>
        <sz val="11"/>
        <rFont val="Calibri"/>
        <family val="2"/>
        <scheme val="minor"/>
      </rPr>
      <t xml:space="preserve">
</t>
    </r>
    <r>
      <rPr>
        <b/>
        <sz val="10"/>
        <rFont val="Calibri"/>
        <family val="2"/>
        <scheme val="minor"/>
      </rPr>
      <t>IN HESSEN UND NASSAU</t>
    </r>
  </si>
  <si>
    <t>Eingabe der Rechtsträger-Nr.
im rot hinterlegten Feld!</t>
  </si>
  <si>
    <t>Mandant</t>
  </si>
  <si>
    <t>Kirchengemeinde / Dekanat /RV</t>
  </si>
  <si>
    <t>Handkasse der</t>
  </si>
  <si>
    <t>Änderung des Abrufs der Mandanten-Nr. (Anpassung SVERWEIS)
Änderung der Datenbanken der Rechtsträger</t>
  </si>
  <si>
    <t>Ergänzung RT "Gesamtgemeinde Wiesbaden" in Datenbank RT</t>
  </si>
  <si>
    <t>1.5</t>
  </si>
  <si>
    <t>Formatierung der Felder Aobj und SaKo als Text</t>
  </si>
  <si>
    <t>1.6</t>
  </si>
  <si>
    <t>1.7</t>
  </si>
  <si>
    <t>Änderung des Passwortes zum Zellschutz</t>
  </si>
  <si>
    <t>Änderungen basierend auf den Ergebnissen des Workshops "Buchungsblätter" vom 20.07.2016:</t>
  </si>
  <si>
    <t>Veränderung Beschreibung der Handkasse im RT. z.B. "HK 3398 Gemeindebüro"
entsprechende Veränderung der DB "RT". Unterteilung in zwei Felder. Die erste
Zelle wird automatisch über einen SVERWEIS gefüllt, die zweite Zelle kann
überschrieben werden, da kein Zellenschutz.</t>
  </si>
  <si>
    <t>Ergänzung Anzahl der Zeilen = insgesamt 12
Korrektur Zahlenformat AObj (alle Blöcke) = Text
Anpassung der Spaltenbreiten für 100%ige Darstellung und Ausdruck
Bedingte Formatierung für Eingabe der RT-Nummer
Farbumstellung EKHN-Logo und Schriftzug auf s/w</t>
  </si>
  <si>
    <t>1.8</t>
  </si>
  <si>
    <t>1.9</t>
  </si>
  <si>
    <t>2.0</t>
  </si>
  <si>
    <t>Integration neue Datenbank RT V1.4</t>
  </si>
  <si>
    <t>Veränderung des Blattschutzes: Es dürfen nur noch "nicht gesperrte Zellen"
ausgewählt werden</t>
  </si>
  <si>
    <t>2.1</t>
  </si>
  <si>
    <t>Aufgrund der besprochenen Änderungen wurde für diese Version des Buchungsblatt Handkasse das "Buchungsblatt" in der Version 1.7
als Basis verwendet!</t>
  </si>
  <si>
    <t>Buchungsblatt Handkasse</t>
  </si>
  <si>
    <t>Name der Handkasse:</t>
  </si>
  <si>
    <t>Änderung "Buchungsblatt" in "Buchungsblatt Handkasse"</t>
  </si>
  <si>
    <t>Entfernung Zeile "Partnerkonto", "Anschrift", "BIC"</t>
  </si>
  <si>
    <t>Einfügen "Name der Handkasse" - wird automatisch anhand der RT-Nr. angezeigt, hierbei kann der Name geändert werden</t>
  </si>
  <si>
    <t>Einfügen von zwei weiteren Buchungszeilen</t>
  </si>
  <si>
    <t>Erweiterung "Name der Handkasse" - es wird in der DB RT das Feld "Handkasse der" angedruckt.
Dieses Feld kann vom Benutzer geändert werden.</t>
  </si>
  <si>
    <t xml:space="preserve">    Sonstige Zuschüsse von Kommunen</t>
  </si>
  <si>
    <t xml:space="preserve">    Nicht zweckgebundene Spenden</t>
  </si>
  <si>
    <t xml:space="preserve">    Übrige sonstige Personalaufwendungen</t>
  </si>
  <si>
    <t xml:space="preserve">    Sonstige Zuschüsse an Dritte</t>
  </si>
  <si>
    <t xml:space="preserve">    Verbrauchsmaterial im kirchlichen Bereich</t>
  </si>
  <si>
    <t xml:space="preserve">    Lebensmittel</t>
  </si>
  <si>
    <t xml:space="preserve">    Getränke</t>
  </si>
  <si>
    <t xml:space="preserve">    Geschäftsbedarf</t>
  </si>
  <si>
    <t xml:space="preserve">    Porto</t>
  </si>
  <si>
    <t xml:space="preserve">    Spiel- und Beschäftigungsmaterial</t>
  </si>
  <si>
    <t xml:space="preserve">    Reisekosten</t>
  </si>
  <si>
    <t xml:space="preserve">    Aufwendungen für ehrenamtliche Tätigkeit</t>
  </si>
  <si>
    <t xml:space="preserve">    Lehr- und Lernmittel</t>
  </si>
  <si>
    <t xml:space="preserve">    Unterbringungs- und Verpflegungskosten</t>
  </si>
  <si>
    <t xml:space="preserve">    Sonstige Aufwendungen für Aus- und Fortbildung</t>
  </si>
  <si>
    <t xml:space="preserve">    Verbrauchsmaterial</t>
  </si>
  <si>
    <t xml:space="preserve">    Sonstige Verwaltungs- und Betriebsaufwendungen</t>
  </si>
  <si>
    <t xml:space="preserve">    Instandhaltung  der Grundstücke und Außenanlagen</t>
  </si>
  <si>
    <t xml:space="preserve">    Instandhaltung der  Gebäude</t>
  </si>
  <si>
    <t xml:space="preserve">    Instandhaltung von Fahrzeugen</t>
  </si>
  <si>
    <t xml:space="preserve">    Sonstige Betriebs- und Nebenkosten</t>
  </si>
  <si>
    <t xml:space="preserve">    Bewirtungsaufwand</t>
  </si>
  <si>
    <t>Lfd-Nr.</t>
  </si>
  <si>
    <t>Ergänzung des Buchungsblattes durch die Auswahl von Buchungstexten und zugehörigen Sachkonten</t>
  </si>
  <si>
    <t>- Integration neue Datenbank Texte und Sachkonten = SaKo</t>
  </si>
  <si>
    <t>- Integration Formularsteuerelement "Kombinationsfeld"</t>
  </si>
  <si>
    <t>- Freie Eingabe von Text weiterhin möglich, dabei kann allerdings kein Sachkonto zugewiesen werden.</t>
  </si>
  <si>
    <t>- Spalte "D" und "G" eingefügt, die den Abruf des Kombinationsfeldes über SVERWEIS steuern.</t>
  </si>
  <si>
    <r>
      <rPr>
        <b/>
        <sz val="10"/>
        <color rgb="FFFF0000"/>
        <rFont val="Calibri"/>
        <family val="2"/>
        <scheme val="minor"/>
      </rPr>
      <t>Hinweis:</t>
    </r>
    <r>
      <rPr>
        <sz val="10"/>
        <color rgb="FFFF0000"/>
        <rFont val="Calibri"/>
        <family val="2"/>
        <scheme val="minor"/>
      </rPr>
      <t xml:space="preserve"> Wenn die Liste der SaKo erweitert wird, müssen auch im Buchungsblatt  in den einzelnen Steuerelementen die </t>
    </r>
    <r>
      <rPr>
        <i/>
        <sz val="10"/>
        <color rgb="FFFF0000"/>
        <rFont val="Calibri"/>
        <family val="2"/>
        <scheme val="minor"/>
      </rPr>
      <t>"Dropdownzeilen"</t>
    </r>
    <r>
      <rPr>
        <sz val="10"/>
        <color rgb="FFFF0000"/>
        <rFont val="Calibri"/>
        <family val="2"/>
        <scheme val="minor"/>
      </rPr>
      <t xml:space="preserve"> und der "</t>
    </r>
    <r>
      <rPr>
        <i/>
        <sz val="10"/>
        <color rgb="FFFF0000"/>
        <rFont val="Calibri"/>
        <family val="2"/>
        <scheme val="minor"/>
      </rPr>
      <t>Eingabebereich"</t>
    </r>
    <r>
      <rPr>
        <sz val="10"/>
        <color rgb="FFFF0000"/>
        <rFont val="Calibri"/>
        <family val="2"/>
        <scheme val="minor"/>
      </rPr>
      <t xml:space="preserve"> angepasst werden !!</t>
    </r>
  </si>
  <si>
    <t>- Ausblenden der Spalten-/Zeilenköpfe</t>
  </si>
  <si>
    <t>- Ausblenden der Bearbeitungszeile</t>
  </si>
  <si>
    <t>- Ausblenden der Gitternetzlinien</t>
  </si>
  <si>
    <t>2.2</t>
  </si>
  <si>
    <t>Trennung der Erträge und Aufwendungen in zwei Register</t>
  </si>
  <si>
    <r>
      <t xml:space="preserve">Sachkonto
</t>
    </r>
    <r>
      <rPr>
        <b/>
        <sz val="10"/>
        <color rgb="FFFF0000"/>
        <rFont val="Calibri"/>
        <family val="2"/>
        <scheme val="minor"/>
      </rPr>
      <t>Aufwand</t>
    </r>
  </si>
  <si>
    <r>
      <t xml:space="preserve">Sachkonto
</t>
    </r>
    <r>
      <rPr>
        <b/>
        <sz val="10"/>
        <color rgb="FFFF0000"/>
        <rFont val="Calibri"/>
        <family val="2"/>
        <scheme val="minor"/>
      </rPr>
      <t>Ertrag</t>
    </r>
  </si>
  <si>
    <t>- Keine freie Eingabe von Text mehr möglich (Zuweisung Text und SaKo nur noch über Formularfeld möglich)</t>
  </si>
  <si>
    <t>Text</t>
  </si>
  <si>
    <t>SaKo</t>
  </si>
  <si>
    <t>- Überschrift für Text und SaKo geändert - "(optional)" entfernt</t>
  </si>
  <si>
    <t>- Änderung der Formel für die Summierung: Summe wird errechnet, wenn im Feld A16 ein Wert eingetragen wird</t>
  </si>
  <si>
    <t>2.3</t>
  </si>
  <si>
    <r>
      <rPr>
        <b/>
        <i/>
        <sz val="15"/>
        <color theme="1" tint="0.249977111117893"/>
        <rFont val="Calibri"/>
        <family val="2"/>
        <scheme val="minor"/>
      </rPr>
      <t>Buchung</t>
    </r>
    <r>
      <rPr>
        <b/>
        <i/>
        <sz val="14"/>
        <color theme="1" tint="0.249977111117893"/>
        <rFont val="Calibri"/>
        <family val="2"/>
        <scheme val="minor"/>
      </rPr>
      <t xml:space="preserve"> </t>
    </r>
    <r>
      <rPr>
        <b/>
        <i/>
        <sz val="12"/>
        <color theme="1" tint="0.249977111117893"/>
        <rFont val="Calibri"/>
        <family val="2"/>
        <scheme val="minor"/>
      </rPr>
      <t>(Splitbuchung)</t>
    </r>
  </si>
  <si>
    <t>- Negative Beträge werden rot und mit vorgestelltem "-" dargestellt</t>
  </si>
  <si>
    <t xml:space="preserve">    Bücher, Medien, Druckarbeiten</t>
  </si>
  <si>
    <t xml:space="preserve">    EDV-Aufwendungen</t>
  </si>
  <si>
    <t xml:space="preserve">    Instandhaltung Ausstattung</t>
  </si>
  <si>
    <t xml:space="preserve">    Betriebsaufwendungen Fahrzeuge</t>
  </si>
  <si>
    <t>- Anpassung der Sachkonten gem. Kontenrahmen vom 01.01.2017</t>
  </si>
  <si>
    <t>Matrix1</t>
  </si>
  <si>
    <t>Summe  / Kassenbestand:</t>
  </si>
  <si>
    <t>Summe</t>
  </si>
  <si>
    <t>Papiergeld:</t>
  </si>
  <si>
    <t xml:space="preserve">Papiergeld:   </t>
  </si>
  <si>
    <t>Münzgeld:</t>
  </si>
  <si>
    <t xml:space="preserve">    Leihgebühren</t>
  </si>
  <si>
    <t>1. Zchn</t>
  </si>
  <si>
    <t>letzer Eintrag</t>
  </si>
  <si>
    <t>Lfd. Nr.</t>
  </si>
  <si>
    <t>Bestand</t>
  </si>
  <si>
    <r>
      <t xml:space="preserve">Von der Kassenführung wird bescheinigt,
dass Buch-und Kassenbestand übereinstimmen:
</t>
    </r>
    <r>
      <rPr>
        <sz val="9"/>
        <rFont val="Calibri"/>
        <family val="2"/>
        <scheme val="minor"/>
      </rPr>
      <t>(Unterschrift Kassenführung)</t>
    </r>
  </si>
  <si>
    <t>Bereich wird geschützt/ausgeblendet</t>
  </si>
  <si>
    <t>Bereich wird gesperrt und ausgeblendet</t>
  </si>
  <si>
    <t>am</t>
  </si>
  <si>
    <t>Anzahl</t>
  </si>
  <si>
    <r>
      <t xml:space="preserve">Rollgeld  = </t>
    </r>
    <r>
      <rPr>
        <b/>
        <sz val="11"/>
        <rFont val="Calibri"/>
        <family val="2"/>
        <scheme val="minor"/>
      </rPr>
      <t xml:space="preserve">    </t>
    </r>
  </si>
  <si>
    <t>Kassenbestand/bar</t>
  </si>
  <si>
    <t>Tatsächlicher Barbestand der Handkasse</t>
  </si>
  <si>
    <t>Bereich für Buchungsblatt Aufwand</t>
  </si>
  <si>
    <t>Bereich für Buchungsblatt Ertrag</t>
  </si>
  <si>
    <t>Ertrag</t>
  </si>
  <si>
    <t>Aufwand</t>
  </si>
  <si>
    <t>Matrix</t>
  </si>
  <si>
    <t>Gruppen</t>
  </si>
  <si>
    <t>3.0</t>
  </si>
  <si>
    <t>Aufbau eines Kassenbuches mit automatischer Zuordnung der Aufwendungen und Erträge in getrennte Buchungsblätter</t>
  </si>
  <si>
    <r>
      <t xml:space="preserve">- Basisdateien: </t>
    </r>
    <r>
      <rPr>
        <i/>
        <sz val="10"/>
        <rFont val="Calibri"/>
        <family val="2"/>
        <scheme val="minor"/>
      </rPr>
      <t>Handkassenvorschuss.xls</t>
    </r>
    <r>
      <rPr>
        <sz val="10"/>
        <rFont val="Calibri"/>
        <family val="2"/>
        <scheme val="minor"/>
      </rPr>
      <t xml:space="preserve"> (RV Oberhessen) und </t>
    </r>
    <r>
      <rPr>
        <i/>
        <sz val="10"/>
        <rFont val="Calibri"/>
        <family val="2"/>
        <scheme val="minor"/>
      </rPr>
      <t>Buchungsblatt Handkasse V2.3.xlsx</t>
    </r>
  </si>
  <si>
    <t>Zusammenführung beider Dateien mit folgendem Ziel:</t>
  </si>
  <si>
    <t>- Eingabe aller Einzelkassenbelege (Ertrag und Aufwand) in einem Register "Kassenbuch"</t>
  </si>
  <si>
    <t>- Übersicht und Kontrolle der Handkasse durch Eingabe der Kontostände des Girokonto Handkasse, des Handkassenbarbestandes und
  der noch in Bearbeitung der RV befindlichen Belege aus einer vorhergehenden Abrechnung</t>
  </si>
  <si>
    <t>- Nach Eingabe der Einzelpositionen werden diese automatisch in Aufwands- und Ertragspositionen getrennt und pro Abrechnungsobjekt
  und Sachkonto an die Register "Buchungsblatt Aufwand" und "Buchungsblatt Ertrag" übergeben.</t>
  </si>
  <si>
    <t>Erstellt von</t>
  </si>
  <si>
    <t>Silvia Stafast</t>
  </si>
  <si>
    <t>Formeln und Funktionen in den einzelnen Registern:</t>
  </si>
  <si>
    <r>
      <t xml:space="preserve">- </t>
    </r>
    <r>
      <rPr>
        <b/>
        <i/>
        <sz val="10"/>
        <color rgb="FFC00000"/>
        <rFont val="Calibri"/>
        <family val="2"/>
        <scheme val="minor"/>
      </rPr>
      <t>Barbestand:</t>
    </r>
    <r>
      <rPr>
        <sz val="10"/>
        <rFont val="Calibri"/>
        <family val="2"/>
        <scheme val="minor"/>
      </rPr>
      <t xml:space="preserve"> Eingabe des Handkassenbarbestandes über ein Zählbrett und Übergabe der Summe in das Register "Kassenbuch"</t>
    </r>
  </si>
  <si>
    <t>- Kassenbuch: danach in Abhängigkeit der Kategorie, über ein Active-X-Steuerelement (Dropdown) die Sachkonten angezeigt und ausgewählt.</t>
  </si>
  <si>
    <t>- Kassenbuch: Die Auswahl des Sachkonto wird pro Zeile in der Spalte R hinterlegt und daraufhin über SVERWEIS aus dem Register SaKo ausgelesen.</t>
  </si>
  <si>
    <t>Bezeichnung - Buchungsblatt</t>
  </si>
  <si>
    <t>Bezeichnung - Dropdown für Anwender</t>
  </si>
  <si>
    <t>Kategorie</t>
  </si>
  <si>
    <r>
      <t xml:space="preserve">- </t>
    </r>
    <r>
      <rPr>
        <b/>
        <i/>
        <sz val="10"/>
        <color rgb="FFC00000"/>
        <rFont val="Calibri"/>
        <family val="2"/>
        <scheme val="minor"/>
      </rPr>
      <t>Kassenbuch:</t>
    </r>
    <r>
      <rPr>
        <sz val="10"/>
        <rFont val="Calibri"/>
        <family val="2"/>
        <scheme val="minor"/>
      </rPr>
      <t xml:space="preserve"> Eingabe der 4stelligen Rechtsträgernummer (Daten werden aus dem Register "RT" über </t>
    </r>
    <r>
      <rPr>
        <i/>
        <sz val="10"/>
        <rFont val="Calibri"/>
        <family val="2"/>
        <scheme val="minor"/>
      </rPr>
      <t>SVERWEIS</t>
    </r>
    <r>
      <rPr>
        <sz val="10"/>
        <rFont val="Calibri"/>
        <family val="2"/>
        <scheme val="minor"/>
      </rPr>
      <t xml:space="preserve"> ausgelesen und an die Register 
                           "Barbestand", "Buchungsblatt Aufwand" und "Buchungsblatt Ertrag" übertragen.</t>
    </r>
  </si>
  <si>
    <t>Name d. Kassenführung</t>
  </si>
  <si>
    <t>Barbestand der Handkasse</t>
  </si>
  <si>
    <t>Aufwand = 1
Ertrag = 2</t>
  </si>
  <si>
    <t>- Kassenbuch: Die Einzelbelege werden über ein Active-X-Steuerelement (Dropdown) in die Kategorie Aufwand=1 oder Ertrag=2 unterteilt und</t>
  </si>
  <si>
    <t>Wird als Gruppe "Aufwand" ausgewählt, der Betrag ist aber bereits im Feld "Ertrag" eingetragen worden, wird das Ertragsfeld in Rot und durchgestrichen dargestellt (=bedingte Formatierung). Wird zuerst die Gruppe "Aufwand" ausgewählt ist eine Eingabe im Feld "Ertrag" nicht mehr möglich (=Daten/Datenüberprüfung). Dies gilt für das Feld "Aufwand" in gleicher Weise. (Änderungen des Textes zur Fehlermeldung können über die Funktion "Reihe berechnen" auf alle folgenden Zellen übertragen werden.)</t>
  </si>
  <si>
    <t>Datenüberprüfung für die folgenden Bereiche (B36:B68 und E36:E68) wenn die max. Anzahl von Zeilen in den Buchungsblättern Aufwand oder Ertrag erreicht ist, wird keine Eingabe mehr zugelassen und ein entsprechender Hinweistext eingeblendet.</t>
  </si>
  <si>
    <t xml:space="preserve">    Geschenke &gt; 35 €</t>
  </si>
  <si>
    <t xml:space="preserve">    Geschenke &lt; 35 €</t>
  </si>
  <si>
    <t xml:space="preserve">    Instandh. Grundstücke und Außenanlagen</t>
  </si>
  <si>
    <t xml:space="preserve">    Sonst. Aufwend. für Aus- und Fortbildung</t>
  </si>
  <si>
    <t xml:space="preserve">    Sonstige Verwaltungs- u. Betriebsaufw.</t>
  </si>
  <si>
    <t xml:space="preserve">    Verbrauchsmaterial im kirchl. Bereich</t>
  </si>
  <si>
    <t>Spalte E und F werden abhänig von der Kategorie Aufwand oder Ertrag das AbrObj und Sachkonto zu einer Zahl zusammengeführt</t>
  </si>
  <si>
    <t>Spalte T gibt das erste Zeichen des AbrObj wieder; bei Wert =0, wird dieses Zeichen im Buchungsblatt (Aufwand oder Ertrag) dem AbrObj als 1. Zeichen wieder hinzugefügt.</t>
  </si>
  <si>
    <t>- Datum / geprüft -</t>
  </si>
  <si>
    <t>- Datum / angeordnet -</t>
  </si>
  <si>
    <t>Änderung in den Registern Buchungsblatt Aufwand und Ertrag: "geprüft" in "Datum / geprüft"</t>
  </si>
  <si>
    <t>Änderung in den Registern Buchungsblatt Aufwand und Ertrag: "angeordnet" in "Datum / angeordnet"</t>
  </si>
  <si>
    <t>Fußzeile: Version 3.0 - Dezember 2017</t>
  </si>
  <si>
    <t>Spalte U (Aufwand) / Spalte T (Ertrag) gibt den Betrag der Buchungszeile wieder, die im Buchungsblatt (Aufwand oder Ertrag) bei identischem AbrObj und Sachkonto, im nächsten Schritt evtl. summiert wird.</t>
  </si>
  <si>
    <t>Datenüberprüfung für den Bereich E33:E68 - wenn in einem der Buchungsblätter Aufwand oder Ertrag nur noch drei Leerzeilen für Buchungen zur Verfügung steht, wird ein entsprechender Hinweistext zur Information eingeblendet. Die Eingabe der Buchung ist aber weiter möglich.</t>
  </si>
  <si>
    <t>Änderung der Formel für die Bestandsermittlung in Zelle I20: Zur Berechnung des Bestandes wird der Ausgezahlte Handvorschuss (Zelle I15) verwendet</t>
  </si>
  <si>
    <t>HK-Nr. und RT-Nr.
für Handkasse</t>
  </si>
  <si>
    <t>3.1</t>
  </si>
  <si>
    <t>- Aufhebung der Sperrung Spalte D und damit Möglichkeit zur Eingabe von individuellen Belegtexten im Register Kassenbuch. Die Übernahme der Buchungszeile in die Buchungsblätter wird nach wie vor mit dem über den Belegtext gewählten Sachkonto vorgenommen.</t>
  </si>
  <si>
    <t>- Löschung Formel in Zelle I69 im Register Kassenbuch, da Summierung hier nicht mehr notwendig.</t>
  </si>
  <si>
    <r>
      <t xml:space="preserve">Überarbeitung des Formulars: </t>
    </r>
    <r>
      <rPr>
        <b/>
        <sz val="10"/>
        <color rgb="FFFF0000"/>
        <rFont val="Calibri"/>
        <family val="2"/>
        <scheme val="minor"/>
      </rPr>
      <t>Individuelle Eingabe des Belegtextes möglich / Erweiterung der Sachkontenliste / Mandantenübergreifende Abrechnung eines Handvorschusses (meint, dass z.B. zwei pfarramtlich verbundenen Kirchengemeinden einen Handvorschuss führen)</t>
    </r>
  </si>
  <si>
    <t>Mandantenübergreifende Abrechnung - Summe:</t>
  </si>
  <si>
    <t>- Register "Barbestand" - Aktualisierung Summe in Zelle H22</t>
  </si>
  <si>
    <t>Kollekten/
IBAN</t>
  </si>
  <si>
    <t>Bankname</t>
  </si>
  <si>
    <t>BIC</t>
  </si>
  <si>
    <t>KfM-Empfänger-Nr.</t>
  </si>
  <si>
    <t>RT-Nr. Dekanat</t>
  </si>
  <si>
    <t>Dekanatszuordnung</t>
  </si>
  <si>
    <t xml:space="preserve">    Bankgebühren</t>
  </si>
  <si>
    <t xml:space="preserve">    Verpflegungs-/Betreuungsaufwendungen</t>
  </si>
  <si>
    <t>- Erweiterung der Sachkontenliste in Absprache mit den RV und TP2 (SaKo 401400, 531900, 682000 und 691410)</t>
  </si>
  <si>
    <t>- Register "Barbestand": Neue Zeile zum Eintrag des Betrags für Mandantenübergreifende Abrechnung eines Handvorschusses = Zeile 21
Zeile bis auf Weiteres ausgeblendet, da noch nicht endgültig geklärt ist, wie die Abrechnung mehrerer Handkassen über ein Girokonto erfolgt.</t>
  </si>
  <si>
    <t>Fußzeile: Version 3.1 - Dezember 2018</t>
  </si>
  <si>
    <t>Ja</t>
  </si>
  <si>
    <t>Nein</t>
  </si>
  <si>
    <t>Bruttobetrag</t>
  </si>
  <si>
    <t>Belegtext (manueller Eintrag)</t>
  </si>
  <si>
    <t>Ust</t>
  </si>
  <si>
    <t>Nummer</t>
  </si>
  <si>
    <t>Eintrittsgelder 19%</t>
  </si>
  <si>
    <t>Eintrittsgelder 7%</t>
  </si>
  <si>
    <t>Eintrittsgelder 0%</t>
  </si>
  <si>
    <t>Eintrittsgelder n.stb.</t>
  </si>
  <si>
    <t>Teilnehmerbeiträge 19%</t>
  </si>
  <si>
    <t>Teilnehmerbeiträge 7%</t>
  </si>
  <si>
    <t>Teilnehmerbeiträge 0%</t>
  </si>
  <si>
    <t>Teilnehmerbeiträge n. stb.</t>
  </si>
  <si>
    <t>Sonst. kirchl. Verkaufserträge 0%</t>
  </si>
  <si>
    <t>Sonst. kirchl. Verkaufserträge n.stb.</t>
  </si>
  <si>
    <t>Sonst. Verkauferlöse 19%</t>
  </si>
  <si>
    <t>Sonst. Verkaufserlöse 7%</t>
  </si>
  <si>
    <t>Sonst. Verkaufserlöse 0%</t>
  </si>
  <si>
    <t>Sonstige Erstattungen 19%</t>
  </si>
  <si>
    <t>Sonstige Erstattungen 7%</t>
  </si>
  <si>
    <t>Sonstige Erstattungen 0%</t>
  </si>
  <si>
    <t>Sonstige Erstattungen n.stb.</t>
  </si>
  <si>
    <t>Sonst. Ordentl. Erträge 19%</t>
  </si>
  <si>
    <t>Sonst. Ordentl. Erträge 7%</t>
  </si>
  <si>
    <t>Sonst. Ordentl. Erträge 0%</t>
  </si>
  <si>
    <t>Sonst. Ordentl. Erträge n.stb.</t>
  </si>
  <si>
    <t xml:space="preserve">    Eintrittsgelder 19%</t>
  </si>
  <si>
    <t xml:space="preserve">    Eintrittsgelder 7%</t>
  </si>
  <si>
    <t xml:space="preserve">    Eintrittsgelder 0%</t>
  </si>
  <si>
    <t xml:space="preserve">    Eintrittsgelder n.stb.</t>
  </si>
  <si>
    <t xml:space="preserve">    Teilnehmerbeiträge 19%</t>
  </si>
  <si>
    <t xml:space="preserve">    Teilnehmerbeiträge 7%</t>
  </si>
  <si>
    <t xml:space="preserve">    Teilnehmerbeiträge 0%</t>
  </si>
  <si>
    <t xml:space="preserve">    Teilnehmerbeiträge n. stb.</t>
  </si>
  <si>
    <t xml:space="preserve">    Sonst. Ordentl. Erträge n.stb.</t>
  </si>
  <si>
    <t xml:space="preserve">    Sonst. kirchl. Verkaufserträge 0%</t>
  </si>
  <si>
    <t xml:space="preserve">    Sonst. kirchl. Verkaufserträge n.stb.</t>
  </si>
  <si>
    <t xml:space="preserve">    Sonst. Verkauferlöse 19%</t>
  </si>
  <si>
    <t xml:space="preserve">    Sonst. Verkaufserlöse 7%</t>
  </si>
  <si>
    <t xml:space="preserve">    Sonst. Verkaufserlöse 0%</t>
  </si>
  <si>
    <t xml:space="preserve">    Sonstige Erstattungen 19%</t>
  </si>
  <si>
    <t xml:space="preserve">    Sonstige Erstattungen 7%</t>
  </si>
  <si>
    <t xml:space="preserve">    Sonstige Erstattungen 0%</t>
  </si>
  <si>
    <t xml:space="preserve">    Sonstige Erstattungen n.stb.</t>
  </si>
  <si>
    <t xml:space="preserve">    Sonst. Ordentl. Erträge 19%</t>
  </si>
  <si>
    <t xml:space="preserve">    Sonst. Ordentl. Erträge 7%</t>
  </si>
  <si>
    <t xml:space="preserve">    Sonst. Ordentl. Erträge 0%</t>
  </si>
  <si>
    <t xml:space="preserve">    Nutzungsentschädigungen KV 19%</t>
  </si>
  <si>
    <t xml:space="preserve">    Nutzungsentschädigungen KV 0%</t>
  </si>
  <si>
    <t xml:space="preserve">    Nutzungsentschädigungen KV n.stb.</t>
  </si>
  <si>
    <t>Kassenbestand/bar Tagesabschluss</t>
  </si>
  <si>
    <t xml:space="preserve">  Text</t>
  </si>
  <si>
    <t>N.stb.</t>
  </si>
  <si>
    <t>n.stb.</t>
  </si>
  <si>
    <t>1 ist voll, 0 ist leer</t>
  </si>
  <si>
    <t xml:space="preserve">    Beschaffungen bis € 1.000 brutto</t>
  </si>
  <si>
    <t xml:space="preserve">    Erträge kirchl. Veröffentl. 19%</t>
  </si>
  <si>
    <t xml:space="preserve">    Erträge.Vertr kirchl.Schriften 7%</t>
  </si>
  <si>
    <t xml:space="preserve">    Zweckgebundene Spenden</t>
  </si>
  <si>
    <t>Nicht zweckgebundene Spenden</t>
  </si>
  <si>
    <t>Zweckgebundene Spenden</t>
  </si>
  <si>
    <t>Sonstige Zuschüsse von Kommunen</t>
  </si>
  <si>
    <t>Erträge kirchl. Veröffentl. 19%</t>
  </si>
  <si>
    <t>Erträge.Vertr kirchl.Schriften 7%</t>
  </si>
  <si>
    <t>Nutzungsentschädigungen KV 19%</t>
  </si>
  <si>
    <t>Nutzungsentschädigungen KV 0%</t>
  </si>
  <si>
    <t>Nutzungsentschädigungen KV n.stb.</t>
  </si>
  <si>
    <t>Auswahl des Sachkontos</t>
  </si>
  <si>
    <t>Monat</t>
  </si>
  <si>
    <t>Sachkonto</t>
  </si>
  <si>
    <t>Umstellung der Formel zum Übertrag in Buchungsblatt bei Erträgen. Durch das Hinzuziehen der Datumsangabe wurde die Eingabe der Abrechnungsobjekte auf 6 Stellen begrenzt. Formel wurde mit mehreren Sverweisen umgestellt. Dadurch können nun, wie bei den Aufwendungen 9 Stellen bei den Abrechnungsobjekten verwendet werden</t>
  </si>
  <si>
    <t>- Formelfehler in Buchungsblatt Ertrag wurde korrigiert.</t>
  </si>
  <si>
    <t>Weiterzuleitende Spenden</t>
  </si>
  <si>
    <t xml:space="preserve">    Weiterzuleitende Spenden</t>
  </si>
  <si>
    <t>bis 3.6</t>
  </si>
  <si>
    <t>Aktualisierung zur Belegbearbeitung im Zuge der USt-Einführung</t>
  </si>
  <si>
    <t>Philipp Sauder</t>
  </si>
  <si>
    <t>- Aufnahme der USt-Sätze für den Ertragsbereich beim jeweiligen Sachkonto im Register SaKo</t>
  </si>
  <si>
    <t>- Aufnahme des SaKo 482300 Nicht zweckgebundene Spenden</t>
  </si>
  <si>
    <t>- Im Buchungsblatt Ertrag erfolgt die Zusammenfassung von Einzelbeträgen, wenn Monat, Sachkonto und Abrechnungsobjekt übereinstimmen. In diesen Fällen wird der des Sachkonto zugeordnete Belegtext angezeigt. In allen anderen Fällen wird der Belegttext der Buchungszeile im Kassenbuch angezeigt.</t>
  </si>
  <si>
    <t>- Fußzeile Buchungsblatt Aufwand und Ertrag: Version 3.6 - Juli 2021</t>
  </si>
  <si>
    <t>3.6.A</t>
  </si>
  <si>
    <t>Formelfehler: Übernahme des Barbestands ins Kassenbuch wurde korrigiert</t>
  </si>
  <si>
    <t>- Fußzeile Buchungsblatt Aufwand und Ertrag: Version 3.6 - September 2021</t>
  </si>
  <si>
    <t>3.7</t>
  </si>
  <si>
    <t>- Korrektur des Formats der IBAN (B11:I11) im Buchungsblatt Aufwand</t>
  </si>
  <si>
    <t>- Aufnahme des SaKo 361100 Weiterzuleitende Spenden</t>
  </si>
  <si>
    <t>- Fußzeile Buchungsblatt Aufwand und Ertrag: Version 3.7 - Oktober 2021</t>
  </si>
  <si>
    <t>- Kassenbuch Zelle J2: Erweiterung des Bereichs ($A$2:$G$500) der Funktion SVERWEIS zum Auslesen der Rechtsträgernummer im Register "RT"</t>
  </si>
  <si>
    <t>- Kassenbuch Zelle F5: Erweiterung des Bereichs ($A$2:$G$500) der Funktion SVERWEIS zum Auslesen des Rechtsträgernamens im Register "RT"</t>
  </si>
  <si>
    <t>- Buchungsblatt Ertrag: Übertragung des Banknamens (Zelle B10) aus Buchungsblatt Aufwand</t>
  </si>
  <si>
    <t>- Buchungsblatt Ertrag: Übertragung der IBAN (Zelle B11:H11) aus Buchungsblatt Aufwand</t>
  </si>
  <si>
    <t>- Buchungsblatt Ertrag: alle Zelle werden für die manuelle Eingabe gesperrt</t>
  </si>
  <si>
    <t>- Buchungsblatt Aufwand: alle Zelle werden für die manuelle Eingabe gesperrt - Ausnahmen: E9; B10; B11:I11</t>
  </si>
  <si>
    <t>- Barbestand Zelle G2: Erweiterung des Bereichs ($A$2:$G$500) der Funktion SVERWEIS zum Auslesen der Rechtsträgernummer im Register "RT"</t>
  </si>
  <si>
    <t>- Barbestand Zelle C4: Erweiterung des Bereichs ($A$2:$G$500) der Funktion SVERWEIS zum Auslesen des Rechtsträgernamens im Register "RT"</t>
  </si>
  <si>
    <t>- Buchungsblatt Aufwand Zelle B5: Erweiterung des Bereichs ($A$2:$G$500) der Funktion SVERWEIS zum Auslesen der Rechtsträgernummer im Register "RT"</t>
  </si>
  <si>
    <t>- Buchungsblatt Aufwand Zelle E9: Erweiterung des Bereichs ($A$2:$G$500) der Funktion SVERWEIS zum Auslesen der Rechtsträgernummer im Register "RT"</t>
  </si>
  <si>
    <t>- Buchungsblatt Ertrag  Zelle H2: Erweiterung des Bereichs ($A$2:$G$500) der Funktion SVERWEIS zum Auslesen der Rechtsträgernummer im Register "RT"</t>
  </si>
  <si>
    <t>- Buchungsblatt Aufwand Zelle I2: Erweiterung des Bereichs ($A$2:$G$500) der Funktion SVERWEIS zum Auslesen der Rechtsträgernummer im Register "RT"</t>
  </si>
  <si>
    <t>- Buchungsblatt Ertrag  Zelle B5: Erweiterung des Bereichs ($A$2:$G$500) der Funktion SVERWEIS zum Auslesen der Rechtsträgernummer im Register "RT"</t>
  </si>
  <si>
    <t>- Buchungsblatt Ertrag  Zelle B9: Erweiterung des Bereichs ($A$2:$G$500) der Funktion SVERWEIS zum Auslesen der Rechtsträgernummer im Register "RT"</t>
  </si>
  <si>
    <t>- Buchungsblatt Aufwand Zelle B9: Erweiterung des Bereichs ($A$2:$G$500) der Funktion SVERWEIS zum Auslesen der Rechtsträgernummer im Register "RT"</t>
  </si>
  <si>
    <t>3.8</t>
  </si>
  <si>
    <t>Funktion SVERWEIS im Register "Kassenbuch" in Zelle J2 und F5 auf Spaltenbezug $A:$K geändert</t>
  </si>
  <si>
    <t>Ev. RVV Rheinhessen</t>
  </si>
  <si>
    <t>Ev. Kirchengemeinde Albig</t>
  </si>
  <si>
    <t>Dekanat Alzey-Wöllstein</t>
  </si>
  <si>
    <t>Ev. Kirchengemeinde Alzey</t>
  </si>
  <si>
    <t>Ev. Kirchengemeinde Armsheim</t>
  </si>
  <si>
    <t>Ev. Kirchengemeinde Bechenheim</t>
  </si>
  <si>
    <t>Ev. Kirchengemeinde Bechtolsheim</t>
  </si>
  <si>
    <t>Ev. Kirchengemeinde Bermersheim v.d.H.</t>
  </si>
  <si>
    <t>Ev. Kirchengemeinde Biebelnheim</t>
  </si>
  <si>
    <t>Ev. Kirchengemeinde Hochborn</t>
  </si>
  <si>
    <t>Ev. Kirchengemeinde Bornheim</t>
  </si>
  <si>
    <t>Ev. Kirchengemeinde Dautenheim</t>
  </si>
  <si>
    <t>Ev. Kirchengemeinde Ensheim</t>
  </si>
  <si>
    <t>Ev. Kirchengemeinde Dintesheim-Eppelsheim</t>
  </si>
  <si>
    <t>Ev. Kirchengemeinde Esselborn</t>
  </si>
  <si>
    <t>Ev. Kirchengemeinde Flomborn</t>
  </si>
  <si>
    <t>Ev. Kirchengemeinde Flonheim-Uffhofen</t>
  </si>
  <si>
    <t>Ev. Kirchengemeinde Framersheim</t>
  </si>
  <si>
    <t>Ev. Kirchengemeinde Freimersheim</t>
  </si>
  <si>
    <t>Ev. Kirchengemeinde Gau-Heppenheim</t>
  </si>
  <si>
    <t>Ev. Kirchengemeinde Gau-Köngernheim</t>
  </si>
  <si>
    <t>Ev. Kirchengemeinde Gau-Odernheim</t>
  </si>
  <si>
    <t>Ev. Kirchengemeinde Gundersheim</t>
  </si>
  <si>
    <t>Ev. Kirchengemeinde Hangen-Weisheim</t>
  </si>
  <si>
    <t>Ev. Kirchengemeinde Heimersheim</t>
  </si>
  <si>
    <t>Ev. Kirchengemeinde Kettenheim</t>
  </si>
  <si>
    <t>Ev. Kirchengemeinde Lonsheim</t>
  </si>
  <si>
    <t>Ev. Kirchengemeinde Nieder-Wiesen</t>
  </si>
  <si>
    <t>Ev. Kirchengemeinde Ober-Flörsheim</t>
  </si>
  <si>
    <t>Ev. Kirchengemeinde Offenheim</t>
  </si>
  <si>
    <t>Ev. Kirchengemeinde Spiesheim</t>
  </si>
  <si>
    <t>Ev. Kirchengemeinde Wahlheim</t>
  </si>
  <si>
    <t>Ev. Kirchengemeinde Weinheim</t>
  </si>
  <si>
    <t>Ev. Kirchengemeinde Erbes-Büdesheim</t>
  </si>
  <si>
    <t>Ev. Kirchengemeinde Nack</t>
  </si>
  <si>
    <t>Ev. Kirchengemeinde Schornsheim</t>
  </si>
  <si>
    <t>Ev. Kirchengemeinde Udenheim</t>
  </si>
  <si>
    <t>Ev. Dekanat Alzey-Wöllstein</t>
  </si>
  <si>
    <t>Ev. Dekanat Ingelheim und Oppenheim</t>
  </si>
  <si>
    <t>Dekanat Ingelheim-Oppenheim</t>
  </si>
  <si>
    <t>Ev. Kirchengemeinde Appenheim</t>
  </si>
  <si>
    <t>Ev. Kirchengemeinde Bingen, Johanneskirchengemeinde</t>
  </si>
  <si>
    <t>Ev. Kirchengemeinde Bingen, Christuskirchengemeinde</t>
  </si>
  <si>
    <t>Ev. Kirchengemeinde Bubenheim</t>
  </si>
  <si>
    <t>Ev. Kirchengemeinde Essenheim/Mauritiusgem.</t>
  </si>
  <si>
    <t>Ev. Kirchengemeinde Engelstadt</t>
  </si>
  <si>
    <t>Ev. Kirchengemeinde Gau-Algesheim</t>
  </si>
  <si>
    <t>Ev. Kirchengemeinde Gensingen-Grolsheim</t>
  </si>
  <si>
    <t>Ev. Kirchengemeinde Groß-Winternheim/ Schwabenheim</t>
  </si>
  <si>
    <t>Ev. Kirchengemeinde Heidesheim</t>
  </si>
  <si>
    <t>Ev. Kirchengemeinde Horrweiler/ Aspisheim</t>
  </si>
  <si>
    <t>Ev. Kirchengemeinde Ingelheim,Burgkirchengemeinde</t>
  </si>
  <si>
    <t>Ev. Kirchengemeinde Ingelheim, Saalkirchengemeinde</t>
  </si>
  <si>
    <t>Ev. Kirchengemeinde Ingelheim, Versöhnungsgemeinde</t>
  </si>
  <si>
    <t>Ev. Kirchengemeinde Jugenheim</t>
  </si>
  <si>
    <t>Ev. Kirchengemeinde Nieder-Hilbersheim</t>
  </si>
  <si>
    <t>Ev. Kirchengemeinde Partenheim</t>
  </si>
  <si>
    <t>Ev. Kirchengemeinde Stadecken-Elsheim</t>
  </si>
  <si>
    <t>Ev. Kirchengemeinde Vendersheim</t>
  </si>
  <si>
    <t>Ev. Kirchengemeinde Wackernheim</t>
  </si>
  <si>
    <t>Ev. Kirchengemeinde Ingelheim, Gustav-Adolf-Kircheng.</t>
  </si>
  <si>
    <t>Ev. Kirchengemeinde Ober-Hilbersheim</t>
  </si>
  <si>
    <t>Ev. Kirchengemeinde Nieder-Olm</t>
  </si>
  <si>
    <t xml:space="preserve">Ev. Kirchengemeinde Budenheim </t>
  </si>
  <si>
    <t>Dekanat Mainz</t>
  </si>
  <si>
    <t>Ev. Kirchengemeinde MZ Finthen</t>
  </si>
  <si>
    <t>Ev. Kirchengemeinde MZ-Hechtsheim</t>
  </si>
  <si>
    <t>Ev. Kirchengemeinde MZ-Laubenheim</t>
  </si>
  <si>
    <t>Ev. Kirchengemeinde MZ Altmünstergemeinde</t>
  </si>
  <si>
    <t>Ev. Kirchengemeinde MZ Auferstehungsgemeinde</t>
  </si>
  <si>
    <t>Ev. Kirchengemeinde MZ Philippusgemeinde Bretzenh.</t>
  </si>
  <si>
    <t>Ev. Kirchengemeinde MZ Christusgemeinde</t>
  </si>
  <si>
    <t>Ev. Kirchengemeinde MZ-Marienborn</t>
  </si>
  <si>
    <t>Ev. Kirchengemeinde MZ-Gonsenheim</t>
  </si>
  <si>
    <t>Ev. Kirchengemeinde MZ St. Johanniskirchengemeinde</t>
  </si>
  <si>
    <t>Ev. Kirchengemeinde MZ Maria-Magdalenakircheng.
Drais-Lerchenberg</t>
  </si>
  <si>
    <t>Ev. Kirchengemeinde MZ Luthergemeinde</t>
  </si>
  <si>
    <t>Ev. Kirchengemeinde in der Oberstadt Mainz</t>
  </si>
  <si>
    <t>Ev. Kirchengemeinde MZ-Mombach</t>
  </si>
  <si>
    <t>Ev. Kirchengemeinde MZ Paulusgemeinde</t>
  </si>
  <si>
    <t>Ev. Kirchengemeinde MZ-Weisenau</t>
  </si>
  <si>
    <t>Ev. Kirchengemeinde Ober-Olm, Klein-Winternheim</t>
  </si>
  <si>
    <t>Ev. Kirchengemeinde MZ-Ebersheim</t>
  </si>
  <si>
    <t>Ev. Kirchengemeinde Zornheim</t>
  </si>
  <si>
    <t>Ev. Kirchengemeinde MZ Emmausgemeinde</t>
  </si>
  <si>
    <t>AG Jugen in Rheinhessen</t>
  </si>
  <si>
    <t>Ev. Dekanat Mainz</t>
  </si>
  <si>
    <t>Ev. Kirchengemeinde Bodenheim-Nackenheim</t>
  </si>
  <si>
    <t>Ev. Kirchengemeinde Dalheim</t>
  </si>
  <si>
    <t>Ev. Kirchengemeinde Dexheim</t>
  </si>
  <si>
    <t>Ev. Kirchengemeinde Dienheim</t>
  </si>
  <si>
    <t>Ev. Kirchengemeinde Dolgesheim</t>
  </si>
  <si>
    <t>Ev. Kirchengemeinde Eimsheim</t>
  </si>
  <si>
    <t>Ev. Kirchengemeinde Guntersblum</t>
  </si>
  <si>
    <t>Ev. Kirchengemeinde Harxheim</t>
  </si>
  <si>
    <t>Ev. Kirchengemeinde Mommenheim-Lörzweiler</t>
  </si>
  <si>
    <t>Ev. Kirchengemeinde Nieder-Saulheim</t>
  </si>
  <si>
    <t>Ev. Kirchengemeinde Nierstein</t>
  </si>
  <si>
    <t>Ev. Kirchengemeinde Ober-Saulheim</t>
  </si>
  <si>
    <t>Ev. Kirchengemeinde Oppenheim</t>
  </si>
  <si>
    <t>Ev. Kirchengemeinde Schwabsburg</t>
  </si>
  <si>
    <t>Ev. Kirchengemeinde Selzen</t>
  </si>
  <si>
    <t>Ev. Kirchengemeinde Uelversheim</t>
  </si>
  <si>
    <t>Ev. Kirchengemeinde Undenheim-Friesenheim</t>
  </si>
  <si>
    <t>Ev. Kirchengemeinde Weinolsheim</t>
  </si>
  <si>
    <t>Ev. Kirchengemeinde Biebelsheim</t>
  </si>
  <si>
    <t>Ev. Kirchengemeinde Bosenheim</t>
  </si>
  <si>
    <t>Ev. Kirchengemeinde Eckelsheim</t>
  </si>
  <si>
    <t>Ev. Kirchengemeinde Eichelberg</t>
  </si>
  <si>
    <t>Ev. Kirchengemeinde Gau-Weinheim</t>
  </si>
  <si>
    <t>Ev. Kirchengemeinde Gumbsheim</t>
  </si>
  <si>
    <t>Ev. Kirchengemeinde Ippesheim</t>
  </si>
  <si>
    <t>Ev. Kirchengemeinde Pfaffen-Schwabenheim</t>
  </si>
  <si>
    <t>Ev. Kirchengemeinde Planig</t>
  </si>
  <si>
    <t>Ev. Kirchengemeinde Rommersheim</t>
  </si>
  <si>
    <t>Ev. Kirchengemeinde Siefersheim</t>
  </si>
  <si>
    <t>Ev. Kirchengemeinde Sprendlingen</t>
  </si>
  <si>
    <t>Ev. Kirchengemeinde St. Johann/Wolfsheim</t>
  </si>
  <si>
    <t>Ev. Kirchengemeinde Stein-Bockenheim</t>
  </si>
  <si>
    <t>Ev. Kirchengemeinde Volxheim</t>
  </si>
  <si>
    <t>Ev. Kirchengemeinde Wallertheim/ Gau-Bickelheim</t>
  </si>
  <si>
    <t>Ev. Kirchengemeinde Wendelsheim</t>
  </si>
  <si>
    <t>Ev. Kirchengemeinde Wöllstein</t>
  </si>
  <si>
    <t>Ev. Kirchengemeinde Wörrstadt</t>
  </si>
  <si>
    <t>Ev. Kirchengemeinde Wonsheim</t>
  </si>
  <si>
    <t>Ev. Kirchengemeinde Zotzenheim/ Welgesheim</t>
  </si>
  <si>
    <t>Ev. Kirchengemeinde Hackenheim</t>
  </si>
  <si>
    <t>Ev. Kirchengemeinde Badenheim/ Pleitersheim</t>
  </si>
  <si>
    <t>Ev. Kirchengemeinde Alsheim</t>
  </si>
  <si>
    <t>Dekanat Worms-Wonnegau</t>
  </si>
  <si>
    <t>Ev. Kirchengemeinde Bechtheim</t>
  </si>
  <si>
    <t>Ev. Kirchengemeinde Bermersheim-Dalsheim</t>
  </si>
  <si>
    <t>Ev. Kirchengemeinde Dittelsheim-Heßloch/ Frettenheim</t>
  </si>
  <si>
    <t>Ev. Kirchengemeinde Dorn-Dürkheim/ Hillesheim Fr. Manz</t>
  </si>
  <si>
    <t>Ev. Kirchengemeinde Eich</t>
  </si>
  <si>
    <t>Ev. Kirchengemeinde Gimbsheim</t>
  </si>
  <si>
    <t>Ev. Kirchengemeinde Hamm und Ibersheim</t>
  </si>
  <si>
    <t>Ev. Kirchengemeinde Hohen-Sülzen</t>
  </si>
  <si>
    <t>Ev. Kirchengemeinde Kriegsheim</t>
  </si>
  <si>
    <t>Ev. Kirchengemeinde Mettenheim</t>
  </si>
  <si>
    <t>Ev. Kirchengemeinde Monsheim</t>
  </si>
  <si>
    <t>Ev. Kirchengemeinde Monzernheim</t>
  </si>
  <si>
    <t>Ev. Kirchengemeinde Mörstadt</t>
  </si>
  <si>
    <t>Ev. Kirchengemeinde Mölsheim-Nieder-Flörsheim</t>
  </si>
  <si>
    <t>Ev. Kirchengemeinde Osthofen</t>
  </si>
  <si>
    <t>Ev. Kirchengemeinde Rheindürkheim</t>
  </si>
  <si>
    <t>Ev. Kirchengemeinde Wachenheim</t>
  </si>
  <si>
    <t>Ev. Kirchengemeinde Westhofen</t>
  </si>
  <si>
    <t>Ev. Kirchengemeinde Pfeddersheim</t>
  </si>
  <si>
    <t>Ev. Dreifaltigkeitsgemeinde Worms</t>
  </si>
  <si>
    <t>Ev. Kirchengemeinde Worms-Friedrichsgemeinde</t>
  </si>
  <si>
    <t>Ev. Kirchengemeinde Worms-Heppenheim</t>
  </si>
  <si>
    <t>Ev. Kirchengemeinde Offstein</t>
  </si>
  <si>
    <t>Ev. Kirchengemeinde Worms-Herrnsheim</t>
  </si>
  <si>
    <t>Ev. Kirchengemeinde Worms-Hochheim</t>
  </si>
  <si>
    <t>Ev. Kirchengemeinde Worms-Horchheim</t>
  </si>
  <si>
    <t>Ev. Kirchengemeinde Worms-Leiselheim</t>
  </si>
  <si>
    <t>Ev. Kirchengemeinde Worms-Neuhausen-Versöhnungsg.</t>
  </si>
  <si>
    <t>Ev. Kirchengemeinde Worms-Pfiffligheim</t>
  </si>
  <si>
    <t>Ev. Kirchengemeinde Worms-Rosengarten</t>
  </si>
  <si>
    <t>Ev. Kirchengemeinde Worms Lukasgemeinde</t>
  </si>
  <si>
    <t>Ev. Kirchengemeinde Worms Luthergemeinde</t>
  </si>
  <si>
    <t>Ev. Magnus- und Matthäusgemeinde Worms</t>
  </si>
  <si>
    <t>Ev. Dekanat Worms-Wonnegau</t>
  </si>
  <si>
    <t>Ev. Gesamtgemeinde Worms</t>
  </si>
  <si>
    <t>Stiftung "Auf dem Weg"</t>
  </si>
  <si>
    <t>Stiftung "Herztat"</t>
  </si>
  <si>
    <t>Stiftung "Brote und Fische"</t>
  </si>
  <si>
    <t>Emmausgemeinde-Stiftung</t>
  </si>
  <si>
    <t>Stiftung Ev. Kgm. MZ-Gonsenheim</t>
  </si>
  <si>
    <t>Ev. Rebenstiftung Mainz</t>
  </si>
  <si>
    <t>Ev. Philippus-Stiftung</t>
  </si>
  <si>
    <t>Stiftung "Evangelisches Mainz"</t>
  </si>
  <si>
    <t>Stiftung Friedenskirche</t>
  </si>
  <si>
    <t>Adolf-Goertz-Stiftung</t>
  </si>
  <si>
    <t>Stiftung Karin Eckert und Paula Ludwig</t>
  </si>
  <si>
    <t>Kirchenstiftung Guntersblum</t>
  </si>
  <si>
    <t>Stiftung "Mertensstiftung"</t>
  </si>
  <si>
    <t>Zweckverband Diakonie Ingelheim</t>
  </si>
  <si>
    <t>AG Jugend in Rheinhessen</t>
  </si>
  <si>
    <t>Zweckverb. Ev. Sozialst. Nierstein</t>
  </si>
  <si>
    <t>Rheinhessischer Baufonds II</t>
  </si>
  <si>
    <t>Starenkasten-KGM Hochheim</t>
  </si>
  <si>
    <t>BGA RV-RV Rheinhessen</t>
  </si>
  <si>
    <t>Geschäftsstelle Dekanat Alzey-Wöllstein</t>
  </si>
  <si>
    <t>Ev. KiTa Albig</t>
  </si>
  <si>
    <t>Ev. KiTa Alzey, MNW</t>
  </si>
  <si>
    <t>Ev. KiTa Alzey, Am Wall</t>
  </si>
  <si>
    <t>Ev. KiTa Bechtolsheim</t>
  </si>
  <si>
    <t>Ev. KiTa Gundersheim</t>
  </si>
  <si>
    <t>Ev. KiTa Ober-Flörsheim</t>
  </si>
  <si>
    <t>Ev. KiTa Offenheim</t>
  </si>
  <si>
    <t>Ev. KiTa Weinheim</t>
  </si>
  <si>
    <t>Ev. KiTa Gimbsheim</t>
  </si>
  <si>
    <t>Ev. KiTa Badenheim</t>
  </si>
  <si>
    <t>Ev. KiTa Rheindürkheim</t>
  </si>
  <si>
    <t>Ev. KiTa Bornheim</t>
  </si>
  <si>
    <t>Ev. KiTa Alsheim</t>
  </si>
  <si>
    <t>Ev. KiTa Piccolino, Schornsheim</t>
  </si>
  <si>
    <t>Ev. KiTa Sonnenschein Wonsheim</t>
  </si>
  <si>
    <t>Geschäftsstelle GüT Dekanat Ingelheim-Oppenheim</t>
  </si>
  <si>
    <t>Ev. KiTa Johannesgemeinde Bingen</t>
  </si>
  <si>
    <t>Ev. KiTa Christusgemeinde Bingen</t>
  </si>
  <si>
    <t>Ev. KiTa Gensingen-Grolsheim</t>
  </si>
  <si>
    <t>Ev. KiTa Saalkirchengemeinde Ingelheim</t>
  </si>
  <si>
    <t>Ev. KiTa Martin-Luther-King, Jugenheim</t>
  </si>
  <si>
    <t>Ev. KiTa Nieder-Olm</t>
  </si>
  <si>
    <t>Ev. KiTa Nierstein</t>
  </si>
  <si>
    <t>Ev. KiTa Uelversheim</t>
  </si>
  <si>
    <t>Ev. KiTa Vers.Kirche Ingelheim</t>
  </si>
  <si>
    <t>Ev. KiTa Partenheim</t>
  </si>
  <si>
    <t>Ev. KiTa Budenheim</t>
  </si>
  <si>
    <t>Ev. KiTa MZ-Hechtsheim</t>
  </si>
  <si>
    <t>Ev. KiTa Altmünster MZ</t>
  </si>
  <si>
    <t>Ev. KiTa Auferstehung MZ</t>
  </si>
  <si>
    <t>Ev. KiTa Christus MZ</t>
  </si>
  <si>
    <t>Ev. KiTa MZ-Gonsenheim</t>
  </si>
  <si>
    <t>Ev. KiTa Maria-Magdalena MZ</t>
  </si>
  <si>
    <t>Ev. KiTa Luther MZ</t>
  </si>
  <si>
    <t>Ev. KiTa Melanchthon MZ</t>
  </si>
  <si>
    <t>Ev. KiTa MZ-Mombach</t>
  </si>
  <si>
    <t>Ev. KiTa Paulus MZ</t>
  </si>
  <si>
    <t>Ev. KiTa MZ-Weisenau</t>
  </si>
  <si>
    <t>Ev. KiTa Emmaus MZ</t>
  </si>
  <si>
    <t>Ev. KiTa Dexheim</t>
  </si>
  <si>
    <t>Kollektenkasse Mommenheim</t>
  </si>
  <si>
    <t>Kollektenkasse Lörzweiler</t>
  </si>
  <si>
    <t>Ev. Kirchengemeinde Oppenheim, Katharinenkirche</t>
  </si>
  <si>
    <t>Ev. Kirchengemeinde Oppenheim, Altenzentrum</t>
  </si>
  <si>
    <t>Kollektenkasse Undenheim</t>
  </si>
  <si>
    <t>Ev. KiTa Oppenheim</t>
  </si>
  <si>
    <t>Kollektenkasse Friesenheim</t>
  </si>
  <si>
    <t>Ev. KiTa Sprendlingen</t>
  </si>
  <si>
    <t>Ev. KiTa Hohen-Sülzen</t>
  </si>
  <si>
    <t>Ev. KiTa Monsheim</t>
  </si>
  <si>
    <t>Ev. KiTa Worms-Dreifaltigkeitsgemeinde</t>
  </si>
  <si>
    <t>Geschäftsstelle GüT Dekanat Worms-Wonnegau</t>
  </si>
  <si>
    <t>Ev. KiTa Dreifaltigkeit</t>
  </si>
  <si>
    <t>Ev. KiTa Anne-Frank Friedrichsgemeinde</t>
  </si>
  <si>
    <t>Ev. KiTa Sonnenblumen, Heppenheim</t>
  </si>
  <si>
    <t>Ev. KiTa Herrnsheim</t>
  </si>
  <si>
    <t>Ev. KiTa Hochheim</t>
  </si>
  <si>
    <t>Ev. KiTa Regenbogen, Horchheim</t>
  </si>
  <si>
    <t>Ev. KiTa Bartimäus, Leiselheim</t>
  </si>
  <si>
    <t>Ev. KiTa Lukas, Lukasgemeinde</t>
  </si>
  <si>
    <t>Ev. KiTa Oberlinhaus, Luthergemeinde</t>
  </si>
  <si>
    <t>Ev. KiTa Käthe-Luther-Haus, Luthergemeinde</t>
  </si>
  <si>
    <t>Ev. KiTa Magnus, Magnus-u. Matthäusgmd.</t>
  </si>
  <si>
    <t>Ev. KiTa Matthäus, Magnus-u. Matthäusgmd.</t>
  </si>
  <si>
    <t>Ev. KiTa Kleines-Ich, Neuhausen</t>
  </si>
  <si>
    <t>Ev. KiTa Abrahams Kinder, Neuhausen</t>
  </si>
  <si>
    <t>Ev. KiTa Am Engelsberg, Offstein</t>
  </si>
  <si>
    <t>Ev. KiTa Pfiffligheim</t>
  </si>
  <si>
    <t>Ev. KiTa Mölsheim</t>
  </si>
  <si>
    <t>Ev. KiTa Wachenheim</t>
  </si>
  <si>
    <t>Ev. KiTa Dalsheim</t>
  </si>
  <si>
    <t>Ev. KiTa Sterngasse, Friedrichsgemeinde</t>
  </si>
  <si>
    <t>Ev. KiTa Pfeddersheim</t>
  </si>
  <si>
    <t>Ev. KiTa Osthofen</t>
  </si>
  <si>
    <t>Ev. KiTa Seebachfrösche, Westhofen</t>
  </si>
  <si>
    <t>Ev. KiTa Regenbogen, Eich</t>
  </si>
  <si>
    <t>Ev. KiTa Morgenstern Mörstadt</t>
  </si>
  <si>
    <t>Gesamtgemeinde Worms</t>
  </si>
  <si>
    <t>Ev. KiTa Leiselheim / Sonderteil (GG Worms)</t>
  </si>
  <si>
    <t>Rheinhessen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</si>
</sst>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8" formatCode="#,##0.00\ &quot;€&quot;;[Red]\-#,##0.00\ &quot;€&quot;"/>
    <numFmt numFmtId="44" formatCode="_-* #,##0.00\ &quot;€&quot;_-;\-* #,##0.00\ &quot;€&quot;_-;_-* &quot;-&quot;??\ &quot;€&quot;_-;_-@_-"/>
    <numFmt numFmtId="164" formatCode="0000"/>
    <numFmt numFmtId="165" formatCode="dd/mm/yy;@"/>
    <numFmt numFmtId="166" formatCode="#,##0.00\ [$€-407];[Red]\-#,##0.00\ [$€-407]"/>
    <numFmt numFmtId="167" formatCode="00"/>
    <numFmt numFmtId="168" formatCode="_-* #,##0.00\ [$€-407]_-;\-* #,##0.00\ [$€-407]_-;_-* &quot;-&quot;??\ [$€-407]_-;_-@_-"/>
    <numFmt numFmtId="169" formatCode="#,##0.00\ [$€-1];[Red]\-#,##0.00\ [$€-1]"/>
    <numFmt numFmtId="170" formatCode="[Red]\-#,##0.00\ &quot;€&quot;"/>
    <numFmt numFmtId="171" formatCode="0#####"/>
  </numFmts>
  <fonts count="58" x14ac:knownFonts="1">
    <font>
      <sz val="10"/>
      <name val="Arial"/>
      <family val="2"/>
    </font>
    <font>
      <sz val="11"/>
      <color theme="1"/>
      <name val="Calibri"/>
      <family val="2"/>
      <scheme val="minor"/>
    </font>
    <font>
      <sz val="10"/>
      <color theme="1"/>
      <name val="Calibri"/>
      <family val="2"/>
    </font>
    <font>
      <sz val="11"/>
      <color theme="1"/>
      <name val="Calibri"/>
      <family val="2"/>
      <scheme val="minor"/>
    </font>
    <font>
      <sz val="11"/>
      <color theme="1"/>
      <name val="Calibri"/>
      <family val="2"/>
      <scheme val="minor"/>
    </font>
    <font>
      <b/>
      <sz val="10"/>
      <name val="Calibri"/>
      <family val="2"/>
      <scheme val="minor"/>
    </font>
    <font>
      <b/>
      <sz val="9"/>
      <name val="Calibri"/>
      <family val="2"/>
      <scheme val="minor"/>
    </font>
    <font>
      <b/>
      <sz val="11"/>
      <name val="Calibri"/>
      <family val="2"/>
      <scheme val="minor"/>
    </font>
    <font>
      <b/>
      <u/>
      <sz val="9"/>
      <name val="Calibri"/>
      <family val="2"/>
      <scheme val="minor"/>
    </font>
    <font>
      <b/>
      <i/>
      <sz val="20"/>
      <color theme="1" tint="0.249977111117893"/>
      <name val="Calibri"/>
      <family val="2"/>
      <scheme val="minor"/>
    </font>
    <font>
      <b/>
      <i/>
      <sz val="14"/>
      <color theme="1" tint="0.249977111117893"/>
      <name val="Calibri"/>
      <family val="2"/>
      <scheme val="minor"/>
    </font>
    <font>
      <b/>
      <sz val="11"/>
      <color theme="1" tint="0.249977111117893"/>
      <name val="Calibri"/>
      <family val="2"/>
      <scheme val="minor"/>
    </font>
    <font>
      <sz val="10"/>
      <name val="Calibri"/>
      <family val="2"/>
      <scheme val="minor"/>
    </font>
    <font>
      <b/>
      <i/>
      <sz val="9"/>
      <color theme="1" tint="0.249977111117893"/>
      <name val="Calibri"/>
      <family val="2"/>
      <scheme val="minor"/>
    </font>
    <font>
      <b/>
      <i/>
      <sz val="12"/>
      <color theme="1" tint="0.249977111117893"/>
      <name val="Calibri"/>
      <family val="2"/>
      <scheme val="minor"/>
    </font>
    <font>
      <sz val="10"/>
      <name val="Arial"/>
      <family val="2"/>
    </font>
    <font>
      <b/>
      <sz val="13"/>
      <name val="Calibri"/>
      <family val="2"/>
      <scheme val="minor"/>
    </font>
    <font>
      <b/>
      <sz val="9"/>
      <color indexed="81"/>
      <name val="Segoe UI"/>
      <family val="2"/>
    </font>
    <font>
      <sz val="9"/>
      <color indexed="81"/>
      <name val="Segoe UI"/>
      <family val="2"/>
    </font>
    <font>
      <sz val="10"/>
      <color theme="1"/>
      <name val="Calibri"/>
      <family val="2"/>
      <scheme val="minor"/>
    </font>
    <font>
      <b/>
      <sz val="22"/>
      <name val="Calibri"/>
      <family val="2"/>
      <scheme val="minor"/>
    </font>
    <font>
      <sz val="11"/>
      <name val="Calibri"/>
      <family val="2"/>
      <scheme val="minor"/>
    </font>
    <font>
      <sz val="14"/>
      <name val="Calibri"/>
      <family val="2"/>
      <scheme val="minor"/>
    </font>
    <font>
      <i/>
      <sz val="10"/>
      <name val="Calibri"/>
      <family val="2"/>
      <scheme val="minor"/>
    </font>
    <font>
      <b/>
      <i/>
      <sz val="15"/>
      <color theme="1" tint="0.249977111117893"/>
      <name val="Calibri"/>
      <family val="2"/>
      <scheme val="minor"/>
    </font>
    <font>
      <sz val="10"/>
      <color rgb="FFFF0000"/>
      <name val="Calibri"/>
      <family val="2"/>
      <scheme val="minor"/>
    </font>
    <font>
      <b/>
      <sz val="10"/>
      <color rgb="FFFF0000"/>
      <name val="Calibri"/>
      <family val="2"/>
      <scheme val="minor"/>
    </font>
    <font>
      <sz val="10"/>
      <name val="MS Sans Serif"/>
      <family val="2"/>
    </font>
    <font>
      <i/>
      <sz val="10"/>
      <color rgb="FFFF0000"/>
      <name val="Calibri"/>
      <family val="2"/>
      <scheme val="minor"/>
    </font>
    <font>
      <sz val="9"/>
      <name val="Arial"/>
      <family val="2"/>
    </font>
    <font>
      <b/>
      <u/>
      <sz val="10"/>
      <color indexed="10"/>
      <name val="Calibri"/>
      <family val="2"/>
      <scheme val="minor"/>
    </font>
    <font>
      <b/>
      <u/>
      <sz val="12"/>
      <color indexed="10"/>
      <name val="Calibri"/>
      <family val="2"/>
      <scheme val="minor"/>
    </font>
    <font>
      <b/>
      <sz val="10"/>
      <color indexed="10"/>
      <name val="Calibri"/>
      <family val="2"/>
      <scheme val="minor"/>
    </font>
    <font>
      <b/>
      <sz val="12"/>
      <name val="Calibri"/>
      <family val="2"/>
      <scheme val="minor"/>
    </font>
    <font>
      <sz val="9"/>
      <name val="Calibri"/>
      <family val="2"/>
      <scheme val="minor"/>
    </font>
    <font>
      <b/>
      <sz val="9"/>
      <color theme="1" tint="0.249977111117893"/>
      <name val="Calibri"/>
      <family val="2"/>
      <scheme val="minor"/>
    </font>
    <font>
      <b/>
      <i/>
      <sz val="11"/>
      <color rgb="FFC00000"/>
      <name val="Calibri"/>
      <family val="2"/>
      <scheme val="minor"/>
    </font>
    <font>
      <b/>
      <i/>
      <sz val="10"/>
      <color rgb="FFC00000"/>
      <name val="Calibri"/>
      <family val="2"/>
      <scheme val="minor"/>
    </font>
    <font>
      <b/>
      <sz val="10"/>
      <color rgb="FFC00000"/>
      <name val="Calibri"/>
      <family val="2"/>
      <scheme val="minor"/>
    </font>
    <font>
      <b/>
      <sz val="11"/>
      <color theme="1"/>
      <name val="Calibri"/>
      <family val="2"/>
      <scheme val="minor"/>
    </font>
    <font>
      <b/>
      <sz val="14"/>
      <color theme="1"/>
      <name val="Calibri"/>
      <family val="2"/>
      <scheme val="minor"/>
    </font>
    <font>
      <b/>
      <sz val="11"/>
      <color rgb="FF7030A0"/>
      <name val="Calibri"/>
      <family val="2"/>
      <scheme val="minor"/>
    </font>
    <font>
      <i/>
      <sz val="8"/>
      <color theme="1"/>
      <name val="Calibri"/>
      <family val="2"/>
      <scheme val="minor"/>
    </font>
    <font>
      <b/>
      <sz val="20"/>
      <name val="OCR A Extended"/>
      <family val="3"/>
    </font>
    <font>
      <b/>
      <sz val="18"/>
      <name val="OCR A Extended"/>
      <family val="3"/>
    </font>
    <font>
      <b/>
      <i/>
      <sz val="20"/>
      <name val="Calibri"/>
      <family val="2"/>
      <scheme val="minor"/>
    </font>
    <font>
      <b/>
      <i/>
      <sz val="9"/>
      <name val="Calibri"/>
      <family val="2"/>
      <scheme val="minor"/>
    </font>
    <font>
      <b/>
      <sz val="13"/>
      <color theme="1"/>
      <name val="Calibri"/>
      <family val="2"/>
      <scheme val="minor"/>
    </font>
    <font>
      <b/>
      <sz val="12"/>
      <color theme="1"/>
      <name val="Calibri"/>
      <family val="2"/>
      <scheme val="minor"/>
    </font>
    <font>
      <sz val="12"/>
      <color theme="1"/>
      <name val="Calibri"/>
      <family val="2"/>
      <scheme val="minor"/>
    </font>
    <font>
      <b/>
      <i/>
      <u/>
      <sz val="12"/>
      <name val="Calibri"/>
      <family val="2"/>
      <scheme val="minor"/>
    </font>
    <font>
      <b/>
      <i/>
      <sz val="14"/>
      <name val="Calibri"/>
      <family val="2"/>
      <scheme val="minor"/>
    </font>
    <font>
      <b/>
      <sz val="14"/>
      <name val="Calibri"/>
      <family val="2"/>
      <scheme val="minor"/>
    </font>
    <font>
      <sz val="14"/>
      <color theme="1"/>
      <name val="Calibri"/>
      <family val="2"/>
      <scheme val="minor"/>
    </font>
    <font>
      <b/>
      <sz val="11"/>
      <color rgb="FFC00000"/>
      <name val="Calibri"/>
      <family val="2"/>
      <scheme val="minor"/>
    </font>
    <font>
      <sz val="11"/>
      <color rgb="FFC00000"/>
      <name val="Calibri"/>
      <family val="2"/>
      <scheme val="minor"/>
    </font>
    <font>
      <sz val="8"/>
      <name val="Calibri"/>
      <family val="2"/>
      <scheme val="minor"/>
    </font>
    <font>
      <b/>
      <sz val="8"/>
      <name val="Calibri"/>
      <family val="2"/>
      <scheme val="minor"/>
    </font>
  </fonts>
  <fills count="7">
    <fill>
      <patternFill patternType="none"/>
    </fill>
    <fill>
      <patternFill patternType="gray125"/>
    </fill>
    <fill>
      <patternFill patternType="solid">
        <fgColor rgb="FFDEDEDE"/>
        <bgColor indexed="64"/>
      </patternFill>
    </fill>
    <fill>
      <patternFill patternType="solid">
        <fgColor rgb="FFFFFF00"/>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9" tint="0.79998168889431442"/>
        <bgColor indexed="64"/>
      </patternFill>
    </fill>
  </fills>
  <borders count="15">
    <border>
      <left/>
      <right/>
      <top/>
      <bottom/>
      <diagonal/>
    </border>
    <border>
      <left/>
      <right/>
      <top/>
      <bottom style="hair">
        <color theme="0" tint="-0.24994659260841701"/>
      </bottom>
      <diagonal/>
    </border>
    <border>
      <left/>
      <right/>
      <top style="hair">
        <color theme="0" tint="-0.24994659260841701"/>
      </top>
      <bottom style="hair">
        <color theme="0" tint="-0.24994659260841701"/>
      </bottom>
      <diagonal/>
    </border>
    <border>
      <left style="hair">
        <color theme="0" tint="-0.24994659260841701"/>
      </left>
      <right style="hair">
        <color theme="0" tint="-0.24994659260841701"/>
      </right>
      <top/>
      <bottom style="hair">
        <color theme="0" tint="-0.24994659260841701"/>
      </bottom>
      <diagonal/>
    </border>
    <border>
      <left/>
      <right style="hair">
        <color theme="0" tint="-0.24994659260841701"/>
      </right>
      <top/>
      <bottom style="hair">
        <color theme="0" tint="-0.24994659260841701"/>
      </bottom>
      <diagonal/>
    </border>
    <border>
      <left style="hair">
        <color theme="0" tint="-0.24994659260841701"/>
      </left>
      <right/>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right/>
      <top style="hair">
        <color theme="0" tint="-0.24994659260841701"/>
      </top>
      <bottom/>
      <diagonal/>
    </border>
    <border>
      <left/>
      <right/>
      <top/>
      <bottom style="double">
        <color indexed="64"/>
      </bottom>
      <diagonal/>
    </border>
    <border>
      <left/>
      <right/>
      <top style="thin">
        <color indexed="64"/>
      </top>
      <bottom/>
      <diagonal/>
    </border>
    <border>
      <left/>
      <right/>
      <top/>
      <bottom style="hair">
        <color indexed="64"/>
      </bottom>
      <diagonal/>
    </border>
    <border>
      <left/>
      <right/>
      <top style="hair">
        <color auto="1"/>
      </top>
      <bottom style="hair">
        <color auto="1"/>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top/>
      <bottom/>
      <diagonal/>
    </border>
  </borders>
  <cellStyleXfs count="11">
    <xf numFmtId="0" fontId="0" fillId="0" borderId="0"/>
    <xf numFmtId="0" fontId="4" fillId="0" borderId="0"/>
    <xf numFmtId="0" fontId="15" fillId="0" borderId="0"/>
    <xf numFmtId="0" fontId="27" fillId="0" borderId="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0" fontId="3" fillId="0" borderId="0"/>
    <xf numFmtId="0" fontId="2" fillId="0" borderId="0"/>
    <xf numFmtId="9" fontId="15" fillId="0" borderId="0" applyFont="0" applyFill="0" applyBorder="0" applyAlignment="0" applyProtection="0"/>
    <xf numFmtId="0" fontId="1" fillId="0" borderId="0"/>
  </cellStyleXfs>
  <cellXfs count="323">
    <xf numFmtId="0" fontId="0" fillId="0" borderId="0" xfId="0"/>
    <xf numFmtId="0" fontId="5" fillId="0" borderId="0" xfId="0" applyNumberFormat="1" applyFont="1" applyBorder="1" applyAlignment="1">
      <alignment horizontal="center"/>
    </xf>
    <xf numFmtId="0" fontId="12" fillId="0" borderId="0" xfId="0" applyNumberFormat="1" applyFont="1" applyBorder="1"/>
    <xf numFmtId="0" fontId="12" fillId="0" borderId="0" xfId="0" applyNumberFormat="1" applyFont="1" applyBorder="1" applyAlignment="1">
      <alignment horizontal="center"/>
    </xf>
    <xf numFmtId="49" fontId="5" fillId="2" borderId="0" xfId="2" applyNumberFormat="1" applyFont="1" applyFill="1" applyAlignment="1">
      <alignment horizontal="center" vertical="center"/>
    </xf>
    <xf numFmtId="165" fontId="5" fillId="2" borderId="0" xfId="2" applyNumberFormat="1" applyFont="1" applyFill="1" applyAlignment="1">
      <alignment horizontal="center" vertical="center"/>
    </xf>
    <xf numFmtId="0" fontId="5" fillId="0" borderId="0" xfId="2" applyFont="1" applyAlignment="1">
      <alignment vertical="center"/>
    </xf>
    <xf numFmtId="49" fontId="12" fillId="0" borderId="0" xfId="2" applyNumberFormat="1" applyFont="1" applyAlignment="1">
      <alignment horizontal="center" vertical="top"/>
    </xf>
    <xf numFmtId="165" fontId="12" fillId="0" borderId="0" xfId="2" applyNumberFormat="1" applyFont="1" applyAlignment="1">
      <alignment horizontal="center" vertical="top"/>
    </xf>
    <xf numFmtId="0" fontId="12" fillId="0" borderId="0" xfId="2" applyFont="1" applyAlignment="1">
      <alignment vertical="top"/>
    </xf>
    <xf numFmtId="49" fontId="12" fillId="0" borderId="0" xfId="2" applyNumberFormat="1" applyFont="1" applyAlignment="1">
      <alignment horizontal="center"/>
    </xf>
    <xf numFmtId="165" fontId="12" fillId="0" borderId="0" xfId="2" applyNumberFormat="1" applyFont="1" applyAlignment="1">
      <alignment horizontal="center"/>
    </xf>
    <xf numFmtId="0" fontId="12" fillId="0" borderId="0" xfId="2" applyFont="1"/>
    <xf numFmtId="0" fontId="5" fillId="0" borderId="0" xfId="0" applyNumberFormat="1" applyFont="1" applyBorder="1" applyAlignment="1">
      <alignment horizontal="center" vertical="center"/>
    </xf>
    <xf numFmtId="0" fontId="5" fillId="0" borderId="0" xfId="0" applyNumberFormat="1" applyFont="1" applyBorder="1" applyAlignment="1">
      <alignment vertical="center"/>
    </xf>
    <xf numFmtId="0" fontId="5" fillId="0" borderId="0" xfId="0" applyNumberFormat="1" applyFont="1" applyBorder="1" applyAlignment="1">
      <alignment horizontal="left" vertical="center"/>
    </xf>
    <xf numFmtId="0" fontId="5" fillId="3" borderId="0"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0" xfId="0" applyNumberFormat="1" applyFont="1" applyFill="1" applyBorder="1" applyAlignment="1">
      <alignment horizontal="right" vertical="center"/>
    </xf>
    <xf numFmtId="165" fontId="12" fillId="0" borderId="0" xfId="2" applyNumberFormat="1" applyFont="1" applyAlignment="1">
      <alignment horizontal="center" vertical="top"/>
    </xf>
    <xf numFmtId="49" fontId="12" fillId="0" borderId="0" xfId="2" applyNumberFormat="1" applyFont="1" applyAlignment="1">
      <alignment horizontal="center" vertical="top"/>
    </xf>
    <xf numFmtId="165" fontId="12" fillId="0" borderId="0" xfId="2" applyNumberFormat="1" applyFont="1" applyAlignment="1">
      <alignment horizontal="center" vertical="top"/>
    </xf>
    <xf numFmtId="49" fontId="12" fillId="0" borderId="0" xfId="2" applyNumberFormat="1" applyFont="1" applyAlignment="1">
      <alignment horizontal="center" vertical="top"/>
    </xf>
    <xf numFmtId="49" fontId="11" fillId="0" borderId="0" xfId="0" applyNumberFormat="1" applyFont="1" applyBorder="1" applyAlignment="1" applyProtection="1">
      <alignment horizontal="center"/>
      <protection locked="0"/>
    </xf>
    <xf numFmtId="165" fontId="12" fillId="0" borderId="0" xfId="2" applyNumberFormat="1" applyFont="1" applyAlignment="1">
      <alignment horizontal="center" vertical="top"/>
    </xf>
    <xf numFmtId="49" fontId="12" fillId="0" borderId="0" xfId="2" applyNumberFormat="1" applyFont="1" applyAlignment="1">
      <alignment horizontal="center" vertical="top"/>
    </xf>
    <xf numFmtId="49" fontId="12" fillId="0" borderId="0" xfId="0" applyNumberFormat="1" applyFont="1" applyAlignment="1">
      <alignment horizontal="center" vertical="top"/>
    </xf>
    <xf numFmtId="165" fontId="12" fillId="0" borderId="0" xfId="0" applyNumberFormat="1" applyFont="1" applyAlignment="1">
      <alignment horizontal="center" vertical="top"/>
    </xf>
    <xf numFmtId="0" fontId="5" fillId="0" borderId="0" xfId="0" applyNumberFormat="1" applyFont="1" applyBorder="1" applyAlignment="1">
      <alignment horizontal="left" vertical="center" indent="1"/>
    </xf>
    <xf numFmtId="0" fontId="21" fillId="0" borderId="2" xfId="0" applyNumberFormat="1" applyFont="1" applyBorder="1" applyAlignment="1" applyProtection="1">
      <alignment horizontal="left" vertical="center"/>
    </xf>
    <xf numFmtId="0" fontId="12" fillId="0" borderId="2" xfId="0" applyNumberFormat="1" applyFont="1" applyBorder="1" applyAlignment="1" applyProtection="1">
      <alignment horizontal="left" vertical="center"/>
    </xf>
    <xf numFmtId="0" fontId="5" fillId="0" borderId="0" xfId="3" applyFont="1" applyAlignment="1" applyProtection="1">
      <alignment horizontal="center" vertical="center"/>
    </xf>
    <xf numFmtId="0" fontId="5" fillId="0" borderId="0" xfId="3" applyFont="1" applyAlignment="1" applyProtection="1">
      <alignment vertical="center"/>
    </xf>
    <xf numFmtId="0" fontId="12" fillId="0" borderId="0" xfId="3" applyFont="1" applyAlignment="1" applyProtection="1">
      <alignment horizontal="center"/>
    </xf>
    <xf numFmtId="0" fontId="12" fillId="0" borderId="0" xfId="3" applyFont="1" applyProtection="1"/>
    <xf numFmtId="0" fontId="12" fillId="0" borderId="0" xfId="3" applyFont="1" applyBorder="1" applyProtection="1"/>
    <xf numFmtId="49" fontId="12" fillId="0" borderId="0" xfId="3" applyNumberFormat="1" applyFont="1" applyBorder="1" applyAlignment="1" applyProtection="1">
      <alignment horizontal="left"/>
    </xf>
    <xf numFmtId="0" fontId="12" fillId="0" borderId="0" xfId="3" applyNumberFormat="1" applyFont="1" applyAlignment="1" applyProtection="1">
      <alignment horizontal="left"/>
    </xf>
    <xf numFmtId="49" fontId="12" fillId="0" borderId="0" xfId="0" applyNumberFormat="1" applyFont="1" applyAlignment="1">
      <alignment horizontal="center" vertical="top"/>
    </xf>
    <xf numFmtId="165" fontId="12" fillId="0" borderId="0" xfId="0" applyNumberFormat="1" applyFont="1" applyAlignment="1">
      <alignment horizontal="center" vertical="top"/>
    </xf>
    <xf numFmtId="0" fontId="5" fillId="0" borderId="0" xfId="3" applyNumberFormat="1" applyFont="1" applyAlignment="1" applyProtection="1">
      <alignment horizontal="center" vertical="center" wrapText="1"/>
    </xf>
    <xf numFmtId="0" fontId="5" fillId="0" borderId="0" xfId="3" applyFont="1" applyAlignment="1" applyProtection="1">
      <alignment horizontal="left" vertical="center" indent="1"/>
    </xf>
    <xf numFmtId="0" fontId="12" fillId="0" borderId="0" xfId="3" applyFont="1" applyFill="1" applyAlignment="1" applyProtection="1">
      <alignment horizontal="center"/>
    </xf>
    <xf numFmtId="0" fontId="12" fillId="0" borderId="0" xfId="3" applyFont="1" applyFill="1" applyBorder="1" applyProtection="1"/>
    <xf numFmtId="0" fontId="30" fillId="0" borderId="0" xfId="0" applyFont="1" applyFill="1" applyAlignment="1" applyProtection="1"/>
    <xf numFmtId="0" fontId="12" fillId="0" borderId="0" xfId="0" applyFont="1" applyAlignment="1" applyProtection="1">
      <alignment horizontal="center"/>
    </xf>
    <xf numFmtId="0" fontId="12" fillId="0" borderId="0" xfId="0" applyFont="1" applyProtection="1"/>
    <xf numFmtId="0" fontId="12" fillId="0" borderId="0" xfId="0" applyFont="1" applyFill="1" applyBorder="1" applyAlignment="1" applyProtection="1"/>
    <xf numFmtId="0" fontId="12" fillId="0" borderId="0" xfId="0" applyFont="1" applyFill="1" applyBorder="1" applyProtection="1"/>
    <xf numFmtId="0" fontId="12" fillId="0" borderId="0" xfId="0" applyFont="1" applyFill="1" applyBorder="1" applyAlignment="1" applyProtection="1">
      <alignment horizontal="center"/>
    </xf>
    <xf numFmtId="0" fontId="5" fillId="0" borderId="0" xfId="0" applyFont="1" applyFill="1" applyBorder="1" applyAlignment="1" applyProtection="1"/>
    <xf numFmtId="0" fontId="31" fillId="0" borderId="0" xfId="0" applyFont="1" applyFill="1" applyBorder="1" applyAlignment="1" applyProtection="1">
      <alignment wrapText="1"/>
    </xf>
    <xf numFmtId="0" fontId="32" fillId="0" borderId="0" xfId="0" applyFont="1" applyFill="1" applyBorder="1" applyAlignment="1" applyProtection="1">
      <alignment wrapText="1"/>
    </xf>
    <xf numFmtId="0" fontId="32" fillId="0" borderId="0" xfId="0" applyFont="1" applyFill="1" applyBorder="1" applyAlignment="1" applyProtection="1"/>
    <xf numFmtId="0" fontId="33"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wrapText="1"/>
    </xf>
    <xf numFmtId="8" fontId="12" fillId="0" borderId="0" xfId="0" applyNumberFormat="1" applyFont="1" applyBorder="1" applyAlignment="1" applyProtection="1">
      <alignment vertical="center"/>
    </xf>
    <xf numFmtId="0" fontId="5" fillId="0" borderId="0" xfId="0" applyFont="1" applyBorder="1" applyAlignment="1" applyProtection="1">
      <alignment vertical="center"/>
    </xf>
    <xf numFmtId="8" fontId="5" fillId="0" borderId="0" xfId="0" applyNumberFormat="1" applyFont="1" applyBorder="1" applyAlignment="1" applyProtection="1">
      <alignment horizontal="right" vertical="center"/>
    </xf>
    <xf numFmtId="0" fontId="30" fillId="0" borderId="0" xfId="0" applyFont="1" applyFill="1" applyAlignment="1" applyProtection="1">
      <alignment horizontal="center"/>
    </xf>
    <xf numFmtId="0" fontId="5" fillId="0" borderId="0" xfId="0" applyFont="1" applyFill="1" applyBorder="1" applyAlignment="1" applyProtection="1">
      <alignment horizontal="center"/>
    </xf>
    <xf numFmtId="0" fontId="5" fillId="0" borderId="0" xfId="0" applyFont="1" applyAlignment="1" applyProtection="1">
      <alignment horizontal="center" vertical="center"/>
    </xf>
    <xf numFmtId="0" fontId="5" fillId="0" borderId="0" xfId="0" applyFont="1" applyFill="1" applyBorder="1" applyAlignment="1" applyProtection="1">
      <alignment vertical="center"/>
    </xf>
    <xf numFmtId="0" fontId="7" fillId="0" borderId="0" xfId="0" applyFont="1" applyFill="1" applyBorder="1" applyAlignment="1" applyProtection="1">
      <alignment horizontal="right" vertical="center" indent="1"/>
    </xf>
    <xf numFmtId="0" fontId="36" fillId="0" borderId="0" xfId="0" applyFont="1" applyFill="1" applyBorder="1" applyAlignment="1" applyProtection="1">
      <alignment horizontal="right" vertical="center" indent="1"/>
    </xf>
    <xf numFmtId="168" fontId="36" fillId="0" borderId="0" xfId="0" applyNumberFormat="1" applyFont="1" applyFill="1" applyBorder="1" applyAlignment="1" applyProtection="1">
      <alignment vertical="center"/>
    </xf>
    <xf numFmtId="167" fontId="21" fillId="0" borderId="11" xfId="0" applyNumberFormat="1" applyFont="1" applyBorder="1" applyAlignment="1" applyProtection="1">
      <alignment horizontal="center" vertical="center"/>
    </xf>
    <xf numFmtId="1" fontId="21" fillId="0" borderId="11" xfId="0" applyNumberFormat="1" applyFont="1" applyBorder="1" applyAlignment="1" applyProtection="1">
      <alignment horizontal="center" vertical="center"/>
    </xf>
    <xf numFmtId="8" fontId="21" fillId="0" borderId="11" xfId="0" applyNumberFormat="1" applyFont="1" applyBorder="1" applyAlignment="1" applyProtection="1">
      <alignment horizontal="right" vertical="center"/>
      <protection locked="0"/>
    </xf>
    <xf numFmtId="166" fontId="21" fillId="0" borderId="11" xfId="0" applyNumberFormat="1" applyFont="1" applyBorder="1" applyAlignment="1" applyProtection="1">
      <alignment vertical="center"/>
    </xf>
    <xf numFmtId="167" fontId="21" fillId="0" borderId="12" xfId="0" applyNumberFormat="1" applyFont="1" applyBorder="1" applyAlignment="1" applyProtection="1">
      <alignment horizontal="center" vertical="center"/>
    </xf>
    <xf numFmtId="165" fontId="21" fillId="0" borderId="12" xfId="0" applyNumberFormat="1" applyFont="1" applyBorder="1" applyAlignment="1" applyProtection="1">
      <alignment horizontal="center" vertical="center"/>
      <protection locked="0"/>
    </xf>
    <xf numFmtId="49" fontId="21" fillId="0" borderId="12" xfId="0" applyNumberFormat="1" applyFont="1" applyBorder="1" applyAlignment="1" applyProtection="1">
      <alignment horizontal="center" vertical="center"/>
      <protection locked="0"/>
    </xf>
    <xf numFmtId="8" fontId="21" fillId="0" borderId="12" xfId="0" applyNumberFormat="1" applyFont="1" applyBorder="1" applyAlignment="1" applyProtection="1">
      <alignment vertical="center"/>
    </xf>
    <xf numFmtId="0" fontId="35" fillId="0" borderId="11" xfId="0" applyFont="1" applyBorder="1" applyAlignment="1" applyProtection="1">
      <alignment horizontal="center" vertical="center" wrapText="1"/>
    </xf>
    <xf numFmtId="0" fontId="11" fillId="0" borderId="11" xfId="0" applyFont="1" applyBorder="1" applyAlignment="1" applyProtection="1">
      <alignment horizontal="center" vertical="center" wrapText="1"/>
    </xf>
    <xf numFmtId="0" fontId="11" fillId="0" borderId="11" xfId="0" applyFont="1" applyBorder="1" applyAlignment="1" applyProtection="1">
      <alignment horizontal="right" vertical="center" wrapText="1"/>
    </xf>
    <xf numFmtId="4" fontId="11" fillId="0" borderId="0" xfId="0" applyNumberFormat="1" applyFont="1" applyBorder="1" applyAlignment="1" applyProtection="1">
      <alignment vertical="center"/>
    </xf>
    <xf numFmtId="0" fontId="11" fillId="0" borderId="3" xfId="0" applyFont="1" applyBorder="1" applyAlignment="1" applyProtection="1">
      <alignment vertical="center"/>
    </xf>
    <xf numFmtId="49" fontId="11" fillId="0" borderId="3" xfId="0" applyNumberFormat="1" applyFont="1" applyBorder="1" applyAlignment="1" applyProtection="1">
      <alignment vertical="center"/>
    </xf>
    <xf numFmtId="49" fontId="11" fillId="0" borderId="5" xfId="0" applyNumberFormat="1" applyFont="1" applyBorder="1" applyAlignment="1" applyProtection="1">
      <alignment vertical="center"/>
    </xf>
    <xf numFmtId="49" fontId="11" fillId="0" borderId="4" xfId="0" applyNumberFormat="1" applyFont="1" applyBorder="1" applyAlignment="1" applyProtection="1">
      <alignment vertical="center"/>
    </xf>
    <xf numFmtId="49" fontId="7" fillId="0" borderId="0" xfId="0" applyNumberFormat="1" applyFont="1" applyBorder="1" applyAlignment="1" applyProtection="1">
      <alignment horizontal="center" vertical="center"/>
    </xf>
    <xf numFmtId="0" fontId="5" fillId="0" borderId="0" xfId="0" applyFont="1" applyProtection="1"/>
    <xf numFmtId="0" fontId="11" fillId="0" borderId="0" xfId="0" applyFont="1" applyBorder="1" applyAlignment="1" applyProtection="1">
      <alignment horizontal="right" vertical="center" indent="1"/>
    </xf>
    <xf numFmtId="0" fontId="11" fillId="0" borderId="0" xfId="0" applyFont="1" applyBorder="1" applyAlignment="1" applyProtection="1">
      <alignment horizontal="left" vertical="center" wrapText="1"/>
    </xf>
    <xf numFmtId="0" fontId="11" fillId="0" borderId="0" xfId="0" applyFont="1" applyBorder="1" applyAlignment="1" applyProtection="1">
      <alignment vertical="center"/>
    </xf>
    <xf numFmtId="0" fontId="10" fillId="0" borderId="0" xfId="0" applyFont="1" applyBorder="1" applyAlignment="1" applyProtection="1">
      <alignment vertical="center"/>
    </xf>
    <xf numFmtId="0" fontId="8" fillId="0" borderId="0" xfId="0" applyFont="1" applyBorder="1" applyAlignment="1" applyProtection="1"/>
    <xf numFmtId="0" fontId="7" fillId="0" borderId="0" xfId="0" applyFont="1" applyAlignment="1" applyProtection="1">
      <alignment vertical="center"/>
    </xf>
    <xf numFmtId="166" fontId="21" fillId="0" borderId="6" xfId="0" applyNumberFormat="1" applyFont="1" applyBorder="1" applyAlignment="1" applyProtection="1">
      <alignment horizontal="right" vertical="center" indent="1"/>
    </xf>
    <xf numFmtId="0" fontId="21" fillId="0" borderId="0" xfId="0" applyFont="1" applyAlignment="1" applyProtection="1">
      <alignment vertical="center"/>
    </xf>
    <xf numFmtId="0" fontId="29" fillId="5" borderId="0" xfId="0" applyFont="1" applyFill="1" applyAlignment="1" applyProtection="1">
      <alignment vertical="center"/>
    </xf>
    <xf numFmtId="0" fontId="29" fillId="5" borderId="0" xfId="0" applyFont="1" applyFill="1" applyAlignment="1" applyProtection="1">
      <alignment horizontal="center" vertical="center"/>
    </xf>
    <xf numFmtId="0" fontId="21" fillId="5" borderId="0" xfId="0" applyFont="1" applyFill="1" applyAlignment="1" applyProtection="1">
      <alignment horizontal="center" vertical="center"/>
    </xf>
    <xf numFmtId="8" fontId="7" fillId="0" borderId="0" xfId="1" applyNumberFormat="1" applyFont="1" applyBorder="1" applyAlignment="1" applyProtection="1">
      <alignment horizontal="right" vertical="center" indent="1"/>
    </xf>
    <xf numFmtId="0" fontId="7" fillId="0" borderId="8" xfId="1" applyFont="1" applyBorder="1" applyAlignment="1" applyProtection="1">
      <alignment horizontal="center" vertical="center"/>
    </xf>
    <xf numFmtId="0" fontId="29" fillId="0" borderId="0" xfId="0" applyFont="1" applyFill="1" applyAlignment="1" applyProtection="1">
      <alignment vertical="center"/>
    </xf>
    <xf numFmtId="0" fontId="21" fillId="0" borderId="0" xfId="0" applyFont="1" applyAlignment="1" applyProtection="1">
      <alignment horizontal="center" vertical="center"/>
    </xf>
    <xf numFmtId="0" fontId="6" fillId="0" borderId="8" xfId="0" quotePrefix="1" applyFont="1" applyBorder="1" applyAlignment="1" applyProtection="1">
      <alignment horizontal="center"/>
    </xf>
    <xf numFmtId="0" fontId="33" fillId="0" borderId="0" xfId="0" applyFont="1" applyFill="1" applyBorder="1" applyAlignment="1" applyProtection="1">
      <alignment horizontal="left" vertical="center"/>
    </xf>
    <xf numFmtId="0" fontId="40" fillId="0" borderId="0" xfId="7" applyFont="1" applyProtection="1"/>
    <xf numFmtId="0" fontId="3" fillId="0" borderId="0" xfId="7" applyProtection="1"/>
    <xf numFmtId="0" fontId="43" fillId="0" borderId="0" xfId="7" applyFont="1" applyBorder="1" applyAlignment="1" applyProtection="1">
      <alignment vertical="center"/>
    </xf>
    <xf numFmtId="0" fontId="41" fillId="0" borderId="0" xfId="7" applyFont="1" applyAlignment="1" applyProtection="1">
      <alignment vertical="center"/>
    </xf>
    <xf numFmtId="0" fontId="44" fillId="0" borderId="0" xfId="7" applyFont="1" applyBorder="1" applyAlignment="1" applyProtection="1">
      <alignment horizontal="center" vertical="center"/>
    </xf>
    <xf numFmtId="0" fontId="5" fillId="0" borderId="0" xfId="7" applyFont="1" applyProtection="1"/>
    <xf numFmtId="0" fontId="45" fillId="0" borderId="0" xfId="7" applyFont="1" applyAlignment="1" applyProtection="1">
      <alignment vertical="center"/>
    </xf>
    <xf numFmtId="0" fontId="5" fillId="0" borderId="0" xfId="7" applyFont="1" applyAlignment="1" applyProtection="1">
      <alignment horizontal="right" vertical="center" indent="1"/>
    </xf>
    <xf numFmtId="0" fontId="40" fillId="0" borderId="0" xfId="7" applyFont="1" applyBorder="1" applyAlignment="1" applyProtection="1">
      <alignment vertical="center"/>
    </xf>
    <xf numFmtId="0" fontId="7" fillId="0" borderId="0" xfId="7" applyFont="1" applyBorder="1" applyProtection="1"/>
    <xf numFmtId="0" fontId="7" fillId="0" borderId="0" xfId="7" applyFont="1" applyFill="1" applyBorder="1" applyProtection="1"/>
    <xf numFmtId="0" fontId="3" fillId="0" borderId="0" xfId="7" applyFont="1" applyBorder="1" applyProtection="1"/>
    <xf numFmtId="0" fontId="47" fillId="0" borderId="0" xfId="7" applyFont="1" applyProtection="1"/>
    <xf numFmtId="0" fontId="46" fillId="0" borderId="0" xfId="7" applyFont="1" applyBorder="1" applyAlignment="1" applyProtection="1">
      <alignment horizontal="center"/>
    </xf>
    <xf numFmtId="0" fontId="46" fillId="0" borderId="0" xfId="7" applyFont="1" applyBorder="1" applyAlignment="1" applyProtection="1">
      <alignment horizontal="right"/>
    </xf>
    <xf numFmtId="0" fontId="46" fillId="0" borderId="0" xfId="7" applyFont="1" applyFill="1" applyBorder="1" applyAlignment="1" applyProtection="1">
      <alignment horizontal="center"/>
    </xf>
    <xf numFmtId="8" fontId="3" fillId="0" borderId="0" xfId="7" applyNumberFormat="1" applyFont="1" applyFill="1" applyBorder="1" applyAlignment="1" applyProtection="1"/>
    <xf numFmtId="169" fontId="3" fillId="0" borderId="0" xfId="7" applyNumberFormat="1" applyFont="1" applyBorder="1" applyAlignment="1" applyProtection="1"/>
    <xf numFmtId="0" fontId="5" fillId="0" borderId="0" xfId="7" applyFont="1" applyBorder="1" applyProtection="1"/>
    <xf numFmtId="8" fontId="7" fillId="0" borderId="0" xfId="7" applyNumberFormat="1" applyFont="1" applyBorder="1" applyProtection="1"/>
    <xf numFmtId="0" fontId="3" fillId="0" borderId="0" xfId="7" applyFont="1" applyFill="1" applyBorder="1" applyProtection="1"/>
    <xf numFmtId="0" fontId="3" fillId="0" borderId="0" xfId="7" applyFont="1" applyProtection="1"/>
    <xf numFmtId="0" fontId="41" fillId="0" borderId="0" xfId="7" applyFont="1" applyAlignment="1" applyProtection="1">
      <alignment vertical="center" wrapText="1"/>
    </xf>
    <xf numFmtId="0" fontId="48" fillId="0" borderId="0" xfId="7" applyFont="1" applyProtection="1"/>
    <xf numFmtId="0" fontId="49" fillId="0" borderId="0" xfId="7" applyFont="1" applyBorder="1" applyAlignment="1" applyProtection="1">
      <alignment vertical="center"/>
    </xf>
    <xf numFmtId="0" fontId="33" fillId="0" borderId="0" xfId="7" applyFont="1" applyFill="1" applyBorder="1" applyAlignment="1" applyProtection="1">
      <alignment vertical="center"/>
    </xf>
    <xf numFmtId="0" fontId="49" fillId="0" borderId="0" xfId="7" applyFont="1" applyFill="1" applyAlignment="1" applyProtection="1">
      <alignment vertical="center"/>
    </xf>
    <xf numFmtId="0" fontId="50" fillId="0" borderId="0" xfId="7" applyFont="1" applyFill="1" applyBorder="1" applyAlignment="1" applyProtection="1">
      <alignment horizontal="right" vertical="center"/>
    </xf>
    <xf numFmtId="8" fontId="33" fillId="0" borderId="9" xfId="7" applyNumberFormat="1" applyFont="1" applyFill="1" applyBorder="1" applyAlignment="1" applyProtection="1">
      <alignment vertical="center"/>
    </xf>
    <xf numFmtId="0" fontId="49" fillId="0" borderId="0" xfId="7" applyFont="1" applyProtection="1"/>
    <xf numFmtId="0" fontId="51" fillId="0" borderId="0" xfId="7" applyFont="1" applyFill="1" applyBorder="1" applyAlignment="1" applyProtection="1"/>
    <xf numFmtId="0" fontId="52" fillId="0" borderId="0" xfId="7" applyFont="1" applyFill="1" applyBorder="1" applyAlignment="1" applyProtection="1"/>
    <xf numFmtId="0" fontId="52" fillId="0" borderId="0" xfId="7" applyFont="1" applyBorder="1" applyAlignment="1" applyProtection="1"/>
    <xf numFmtId="0" fontId="53" fillId="0" borderId="0" xfId="7" applyFont="1" applyProtection="1"/>
    <xf numFmtId="8" fontId="12" fillId="0" borderId="0" xfId="0" applyNumberFormat="1" applyFont="1" applyFill="1" applyBorder="1" applyAlignment="1" applyProtection="1">
      <alignment horizontal="center"/>
    </xf>
    <xf numFmtId="168" fontId="5" fillId="0" borderId="0" xfId="0" applyNumberFormat="1" applyFont="1" applyBorder="1" applyAlignment="1" applyProtection="1">
      <alignment horizontal="right" vertical="center"/>
    </xf>
    <xf numFmtId="8" fontId="55" fillId="0" borderId="12" xfId="0" applyNumberFormat="1" applyFont="1" applyBorder="1" applyAlignment="1" applyProtection="1">
      <alignment horizontal="right" vertical="center"/>
      <protection locked="0"/>
    </xf>
    <xf numFmtId="8" fontId="38" fillId="0" borderId="0" xfId="0" applyNumberFormat="1" applyFont="1" applyBorder="1" applyAlignment="1" applyProtection="1">
      <alignment horizontal="right" vertical="center"/>
    </xf>
    <xf numFmtId="0" fontId="6" fillId="0" borderId="0" xfId="0" applyNumberFormat="1" applyFont="1" applyFill="1" applyBorder="1" applyAlignment="1" applyProtection="1">
      <alignment horizontal="center" vertical="center" wrapText="1"/>
    </xf>
    <xf numFmtId="0" fontId="30" fillId="0" borderId="0" xfId="0" applyNumberFormat="1" applyFont="1" applyFill="1" applyAlignment="1" applyProtection="1">
      <alignment horizontal="center"/>
    </xf>
    <xf numFmtId="0" fontId="12"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xf>
    <xf numFmtId="0" fontId="32" fillId="0" borderId="0" xfId="0" applyNumberFormat="1" applyFont="1" applyFill="1" applyBorder="1" applyAlignment="1" applyProtection="1">
      <alignment horizontal="center"/>
    </xf>
    <xf numFmtId="0" fontId="33" fillId="0" borderId="0" xfId="0" applyNumberFormat="1" applyFont="1" applyFill="1" applyBorder="1" applyAlignment="1" applyProtection="1">
      <alignment horizontal="center" vertical="center"/>
    </xf>
    <xf numFmtId="0" fontId="12" fillId="0" borderId="0" xfId="0" applyNumberFormat="1" applyFont="1" applyBorder="1" applyAlignment="1" applyProtection="1">
      <alignment horizontal="center" vertical="center"/>
    </xf>
    <xf numFmtId="0" fontId="12" fillId="0" borderId="0" xfId="0" applyNumberFormat="1" applyFont="1" applyAlignment="1" applyProtection="1">
      <alignment horizontal="center"/>
    </xf>
    <xf numFmtId="0" fontId="23" fillId="0" borderId="0" xfId="0" applyFont="1" applyAlignment="1" applyProtection="1">
      <alignment vertical="center" wrapText="1"/>
    </xf>
    <xf numFmtId="168" fontId="21" fillId="0" borderId="0" xfId="0" applyNumberFormat="1" applyFont="1" applyFill="1" applyBorder="1" applyAlignment="1" applyProtection="1">
      <alignment vertical="center"/>
    </xf>
    <xf numFmtId="49" fontId="5" fillId="2" borderId="0" xfId="2" applyNumberFormat="1" applyFont="1" applyFill="1" applyAlignment="1">
      <alignment vertical="center" wrapText="1"/>
    </xf>
    <xf numFmtId="49" fontId="12" fillId="0" borderId="0" xfId="0" applyNumberFormat="1" applyFont="1" applyAlignment="1">
      <alignment vertical="top" wrapText="1"/>
    </xf>
    <xf numFmtId="49" fontId="12" fillId="0" borderId="0" xfId="2" applyNumberFormat="1" applyFont="1" applyAlignment="1">
      <alignment vertical="top" wrapText="1"/>
    </xf>
    <xf numFmtId="49" fontId="19" fillId="0" borderId="0" xfId="0" applyNumberFormat="1" applyFont="1" applyAlignment="1">
      <alignment vertical="top" wrapText="1"/>
    </xf>
    <xf numFmtId="49" fontId="25" fillId="0" borderId="0" xfId="0" applyNumberFormat="1" applyFont="1" applyAlignment="1">
      <alignment wrapText="1"/>
    </xf>
    <xf numFmtId="49" fontId="19" fillId="0" borderId="0" xfId="0" applyNumberFormat="1" applyFont="1" applyAlignment="1">
      <alignment wrapText="1"/>
    </xf>
    <xf numFmtId="49" fontId="12" fillId="0" borderId="0" xfId="2" quotePrefix="1" applyNumberFormat="1" applyFont="1" applyAlignment="1">
      <alignment vertical="top" wrapText="1"/>
    </xf>
    <xf numFmtId="49" fontId="12" fillId="0" borderId="0" xfId="2" quotePrefix="1" applyNumberFormat="1" applyFont="1" applyAlignment="1">
      <alignment vertical="top"/>
    </xf>
    <xf numFmtId="49" fontId="12" fillId="0" borderId="0" xfId="2" quotePrefix="1" applyNumberFormat="1" applyFont="1" applyAlignment="1">
      <alignment wrapText="1"/>
    </xf>
    <xf numFmtId="49" fontId="12" fillId="0" borderId="0" xfId="2" applyNumberFormat="1" applyFont="1" applyAlignment="1">
      <alignment wrapText="1"/>
    </xf>
    <xf numFmtId="49" fontId="5" fillId="2" borderId="0" xfId="2" applyNumberFormat="1" applyFont="1" applyFill="1" applyAlignment="1">
      <alignment horizontal="left" vertical="center" wrapText="1" indent="1"/>
    </xf>
    <xf numFmtId="0" fontId="12" fillId="0" borderId="0" xfId="2" applyFont="1" applyAlignment="1">
      <alignment horizontal="left" vertical="top" indent="1"/>
    </xf>
    <xf numFmtId="0" fontId="12" fillId="0" borderId="0" xfId="2" applyFont="1" applyAlignment="1">
      <alignment horizontal="left" indent="1"/>
    </xf>
    <xf numFmtId="49" fontId="5" fillId="0" borderId="0" xfId="2" applyNumberFormat="1" applyFont="1" applyAlignment="1">
      <alignment wrapText="1"/>
    </xf>
    <xf numFmtId="0" fontId="32" fillId="0" borderId="0" xfId="0" applyNumberFormat="1" applyFont="1" applyFill="1" applyBorder="1" applyAlignment="1" applyProtection="1">
      <alignment horizontal="left"/>
    </xf>
    <xf numFmtId="0" fontId="6" fillId="0" borderId="0" xfId="0" applyFont="1" applyBorder="1" applyAlignment="1" applyProtection="1">
      <alignment vertical="center" wrapText="1"/>
    </xf>
    <xf numFmtId="168" fontId="33" fillId="0" borderId="0" xfId="0" applyNumberFormat="1" applyFont="1" applyFill="1" applyBorder="1" applyAlignment="1" applyProtection="1">
      <alignment vertical="center"/>
    </xf>
    <xf numFmtId="166" fontId="21" fillId="0" borderId="0" xfId="0" applyNumberFormat="1" applyFont="1" applyFill="1" applyBorder="1" applyAlignment="1" applyProtection="1">
      <alignment horizontal="right" vertical="center"/>
    </xf>
    <xf numFmtId="165" fontId="21" fillId="5" borderId="0" xfId="0" applyNumberFormat="1" applyFont="1" applyFill="1" applyBorder="1" applyAlignment="1" applyProtection="1">
      <alignment horizontal="left" vertical="center"/>
      <protection locked="0"/>
    </xf>
    <xf numFmtId="165" fontId="21" fillId="5" borderId="0" xfId="0" applyNumberFormat="1" applyFont="1" applyFill="1" applyBorder="1" applyAlignment="1" applyProtection="1">
      <alignment vertical="center"/>
      <protection locked="0"/>
    </xf>
    <xf numFmtId="168" fontId="21" fillId="5" borderId="0" xfId="0" applyNumberFormat="1" applyFont="1" applyFill="1" applyBorder="1" applyAlignment="1" applyProtection="1">
      <alignment vertical="center"/>
      <protection locked="0"/>
    </xf>
    <xf numFmtId="170" fontId="21" fillId="5" borderId="0" xfId="0" applyNumberFormat="1" applyFont="1" applyFill="1" applyProtection="1">
      <protection locked="0"/>
    </xf>
    <xf numFmtId="14" fontId="5" fillId="5" borderId="11" xfId="7" applyNumberFormat="1" applyFont="1" applyFill="1" applyBorder="1" applyAlignment="1" applyProtection="1">
      <alignment vertical="center"/>
      <protection locked="0"/>
    </xf>
    <xf numFmtId="0" fontId="3" fillId="5" borderId="0" xfId="7" applyFont="1" applyFill="1" applyBorder="1" applyAlignment="1" applyProtection="1">
      <alignment horizontal="center"/>
      <protection locked="0"/>
    </xf>
    <xf numFmtId="8" fontId="3" fillId="5" borderId="0" xfId="7" applyNumberFormat="1" applyFont="1" applyFill="1" applyBorder="1" applyAlignment="1" applyProtection="1">
      <protection locked="0"/>
    </xf>
    <xf numFmtId="0" fontId="12" fillId="0" borderId="0" xfId="0" applyNumberFormat="1" applyFont="1" applyBorder="1" applyAlignment="1">
      <alignment horizontal="left" indent="1"/>
    </xf>
    <xf numFmtId="0" fontId="12" fillId="0" borderId="0" xfId="0" applyNumberFormat="1" applyFont="1" applyFill="1" applyBorder="1"/>
    <xf numFmtId="0" fontId="12" fillId="0" borderId="0" xfId="0" applyNumberFormat="1" applyFont="1" applyFill="1" applyBorder="1" applyAlignment="1">
      <alignment horizontal="center"/>
    </xf>
    <xf numFmtId="0" fontId="5" fillId="0" borderId="0" xfId="0" applyNumberFormat="1" applyFont="1" applyFill="1" applyBorder="1" applyAlignment="1">
      <alignment horizontal="center" vertical="center" wrapText="1"/>
    </xf>
    <xf numFmtId="164" fontId="12" fillId="0" borderId="0" xfId="0" applyNumberFormat="1" applyFont="1" applyBorder="1" applyAlignment="1">
      <alignment horizontal="center"/>
    </xf>
    <xf numFmtId="49" fontId="12" fillId="0" borderId="0" xfId="2" applyNumberFormat="1" applyFont="1" applyAlignment="1">
      <alignment horizontal="center" vertical="center"/>
    </xf>
    <xf numFmtId="165" fontId="12" fillId="0" borderId="0" xfId="2" applyNumberFormat="1" applyFont="1" applyAlignment="1">
      <alignment horizontal="center" vertical="center"/>
    </xf>
    <xf numFmtId="0" fontId="40" fillId="0" borderId="0" xfId="7" applyFont="1" applyAlignment="1" applyProtection="1">
      <alignment vertical="center"/>
    </xf>
    <xf numFmtId="0" fontId="7" fillId="0" borderId="0" xfId="7" applyFont="1" applyBorder="1" applyAlignment="1" applyProtection="1">
      <alignment vertical="center"/>
    </xf>
    <xf numFmtId="8" fontId="7" fillId="0" borderId="0" xfId="7" applyNumberFormat="1" applyFont="1" applyBorder="1" applyAlignment="1" applyProtection="1">
      <alignment vertical="center"/>
    </xf>
    <xf numFmtId="0" fontId="3" fillId="0" borderId="0" xfId="7" applyFont="1" applyFill="1" applyBorder="1" applyAlignment="1" applyProtection="1">
      <alignment vertical="center"/>
    </xf>
    <xf numFmtId="0" fontId="3" fillId="0" borderId="0" xfId="7" applyFont="1" applyAlignment="1" applyProtection="1">
      <alignment vertical="center"/>
    </xf>
    <xf numFmtId="0" fontId="7" fillId="0" borderId="0" xfId="7" applyFont="1" applyFill="1" applyBorder="1" applyAlignment="1" applyProtection="1">
      <alignment horizontal="right" vertical="center"/>
    </xf>
    <xf numFmtId="8" fontId="3" fillId="5" borderId="0" xfId="7" applyNumberFormat="1" applyFont="1" applyFill="1" applyBorder="1" applyAlignment="1" applyProtection="1">
      <alignment vertical="center"/>
      <protection locked="0"/>
    </xf>
    <xf numFmtId="0" fontId="3" fillId="0" borderId="0" xfId="7" applyAlignment="1" applyProtection="1">
      <alignment vertical="center"/>
    </xf>
    <xf numFmtId="0" fontId="5" fillId="0" borderId="0" xfId="0" applyNumberFormat="1" applyFont="1" applyBorder="1" applyAlignment="1">
      <alignment horizontal="center" vertical="center" wrapText="1"/>
    </xf>
    <xf numFmtId="0" fontId="12" fillId="0" borderId="0" xfId="0" applyNumberFormat="1" applyFont="1" applyBorder="1" applyAlignment="1">
      <alignment horizontal="left"/>
    </xf>
    <xf numFmtId="0" fontId="57" fillId="0" borderId="0" xfId="0" applyNumberFormat="1" applyFont="1" applyFill="1" applyBorder="1" applyAlignment="1" applyProtection="1">
      <alignment horizontal="center" vertical="center" wrapText="1"/>
    </xf>
    <xf numFmtId="0" fontId="12" fillId="0" borderId="0" xfId="3" applyNumberFormat="1" applyFont="1" applyAlignment="1" applyProtection="1">
      <alignment horizontal="center"/>
    </xf>
    <xf numFmtId="0" fontId="12" fillId="0" borderId="0" xfId="3" applyFont="1" applyFill="1" applyBorder="1" applyAlignment="1" applyProtection="1">
      <alignment horizontal="left"/>
    </xf>
    <xf numFmtId="0" fontId="50" fillId="0" borderId="0" xfId="7" applyFont="1" applyFill="1" applyBorder="1" applyAlignment="1" applyProtection="1">
      <alignment horizontal="left" vertical="center"/>
    </xf>
    <xf numFmtId="0" fontId="5" fillId="0" borderId="0" xfId="0" applyFont="1" applyBorder="1" applyAlignment="1" applyProtection="1"/>
    <xf numFmtId="0" fontId="5" fillId="0" borderId="0" xfId="0" applyFont="1" applyAlignment="1" applyProtection="1"/>
    <xf numFmtId="0" fontId="5" fillId="0" borderId="8" xfId="0" quotePrefix="1" applyFont="1" applyBorder="1" applyAlignment="1" applyProtection="1"/>
    <xf numFmtId="0" fontId="12" fillId="0" borderId="0" xfId="3" applyFont="1" applyFill="1" applyBorder="1" applyAlignment="1" applyProtection="1">
      <alignment horizontal="center"/>
    </xf>
    <xf numFmtId="9" fontId="12" fillId="0" borderId="0" xfId="3" applyNumberFormat="1" applyFont="1" applyFill="1" applyBorder="1" applyAlignment="1" applyProtection="1">
      <alignment horizontal="center"/>
    </xf>
    <xf numFmtId="9" fontId="12" fillId="0" borderId="0" xfId="3" applyNumberFormat="1" applyFont="1" applyAlignment="1" applyProtection="1">
      <alignment horizontal="center"/>
    </xf>
    <xf numFmtId="1" fontId="29" fillId="5" borderId="0" xfId="0" applyNumberFormat="1" applyFont="1" applyFill="1" applyAlignment="1" applyProtection="1">
      <alignment vertical="center"/>
    </xf>
    <xf numFmtId="9" fontId="21" fillId="6" borderId="13" xfId="9" applyFont="1" applyFill="1" applyBorder="1" applyAlignment="1" applyProtection="1">
      <alignment horizontal="center" vertical="center"/>
    </xf>
    <xf numFmtId="9" fontId="12" fillId="0" borderId="0" xfId="3" applyNumberFormat="1" applyFont="1" applyProtection="1"/>
    <xf numFmtId="8" fontId="5" fillId="0" borderId="0" xfId="0" applyNumberFormat="1" applyFont="1" applyBorder="1" applyAlignment="1" applyProtection="1">
      <alignment vertical="center"/>
    </xf>
    <xf numFmtId="0" fontId="32" fillId="0" borderId="0" xfId="0" applyFont="1" applyFill="1" applyBorder="1" applyAlignment="1" applyProtection="1">
      <alignment horizontal="center"/>
    </xf>
    <xf numFmtId="0" fontId="12" fillId="0" borderId="0" xfId="0" applyFont="1" applyAlignment="1" applyProtection="1">
      <alignment horizontal="center" vertical="center"/>
    </xf>
    <xf numFmtId="0" fontId="12" fillId="0" borderId="0" xfId="0" applyFont="1" applyFill="1" applyBorder="1" applyAlignment="1" applyProtection="1">
      <alignment vertical="center"/>
    </xf>
    <xf numFmtId="0" fontId="54" fillId="0" borderId="11" xfId="0" applyFont="1" applyBorder="1" applyAlignment="1" applyProtection="1">
      <alignment horizontal="center" vertical="center" wrapText="1"/>
    </xf>
    <xf numFmtId="0" fontId="12" fillId="0" borderId="0" xfId="0" applyNumberFormat="1" applyFont="1" applyBorder="1" applyAlignment="1" applyProtection="1">
      <alignment horizontal="center" vertical="center"/>
      <protection locked="0"/>
    </xf>
    <xf numFmtId="0" fontId="56" fillId="0" borderId="0" xfId="0" applyNumberFormat="1" applyFont="1" applyBorder="1" applyAlignment="1" applyProtection="1">
      <alignment horizontal="center" vertical="center"/>
      <protection locked="0"/>
    </xf>
    <xf numFmtId="1" fontId="12" fillId="0" borderId="0" xfId="0" applyNumberFormat="1" applyFont="1" applyAlignment="1" applyProtection="1">
      <alignment horizontal="center" vertical="center"/>
      <protection locked="0"/>
    </xf>
    <xf numFmtId="0" fontId="12" fillId="0" borderId="0" xfId="0" applyFont="1" applyAlignment="1" applyProtection="1">
      <alignment horizontal="center" vertical="center"/>
      <protection locked="0"/>
    </xf>
    <xf numFmtId="8" fontId="12" fillId="0" borderId="0" xfId="0" applyNumberFormat="1" applyFont="1" applyAlignment="1" applyProtection="1">
      <alignment horizontal="center" vertical="center"/>
      <protection locked="0"/>
    </xf>
    <xf numFmtId="0" fontId="12" fillId="0" borderId="0" xfId="0" applyFont="1" applyProtection="1">
      <protection locked="0"/>
    </xf>
    <xf numFmtId="0" fontId="12" fillId="0" borderId="0"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horizontal="right" vertical="center"/>
    </xf>
    <xf numFmtId="1" fontId="12" fillId="0" borderId="0" xfId="0" applyNumberFormat="1" applyFont="1" applyProtection="1"/>
    <xf numFmtId="1" fontId="12" fillId="0" borderId="0" xfId="0" applyNumberFormat="1" applyFont="1" applyAlignment="1" applyProtection="1">
      <alignment horizontal="center" vertical="center"/>
    </xf>
    <xf numFmtId="0" fontId="12" fillId="0" borderId="0" xfId="0" applyFont="1" applyAlignment="1" applyProtection="1">
      <alignment horizontal="center" vertical="center"/>
    </xf>
    <xf numFmtId="0" fontId="12" fillId="0" borderId="0" xfId="0" applyFont="1" applyAlignment="1" applyProtection="1">
      <alignment horizontal="center" vertical="center"/>
    </xf>
    <xf numFmtId="2" fontId="12" fillId="0" borderId="0" xfId="0" applyNumberFormat="1" applyFont="1" applyFill="1" applyBorder="1" applyProtection="1"/>
    <xf numFmtId="0" fontId="12" fillId="0" borderId="0" xfId="0" applyFont="1" applyAlignment="1" applyProtection="1">
      <alignment horizontal="center" vertical="center"/>
    </xf>
    <xf numFmtId="49" fontId="7" fillId="0" borderId="8" xfId="0" applyNumberFormat="1" applyFont="1" applyBorder="1" applyAlignment="1" applyProtection="1">
      <alignment horizontal="center" vertical="center"/>
    </xf>
    <xf numFmtId="0" fontId="5" fillId="0" borderId="0" xfId="0" applyFont="1" applyBorder="1" applyAlignment="1" applyProtection="1">
      <alignment horizontal="center"/>
    </xf>
    <xf numFmtId="0" fontId="11" fillId="0" borderId="3" xfId="0" applyFont="1" applyBorder="1" applyAlignment="1" applyProtection="1">
      <alignment horizontal="center" vertical="center"/>
    </xf>
    <xf numFmtId="0" fontId="11" fillId="0" borderId="5" xfId="0" applyFont="1" applyBorder="1" applyAlignment="1" applyProtection="1">
      <alignment horizontal="center" vertical="center"/>
    </xf>
    <xf numFmtId="0" fontId="11" fillId="0" borderId="4" xfId="0" applyFont="1" applyBorder="1" applyAlignment="1" applyProtection="1">
      <alignment horizontal="center" vertical="center"/>
    </xf>
    <xf numFmtId="49" fontId="7" fillId="0" borderId="14" xfId="0" applyNumberFormat="1" applyFont="1" applyBorder="1" applyAlignment="1" applyProtection="1">
      <alignment horizontal="center" vertical="center"/>
    </xf>
    <xf numFmtId="0" fontId="12" fillId="0" borderId="0" xfId="2" applyFont="1" applyAlignment="1">
      <alignment horizontal="center" vertical="top"/>
    </xf>
    <xf numFmtId="0" fontId="12" fillId="0" borderId="0" xfId="2" applyFont="1" applyAlignment="1">
      <alignment horizontal="center"/>
    </xf>
    <xf numFmtId="0" fontId="0" fillId="0" borderId="0" xfId="0" applyAlignment="1">
      <alignment horizontal="center"/>
    </xf>
    <xf numFmtId="0" fontId="12" fillId="0" borderId="0" xfId="2" applyFont="1" applyAlignment="1">
      <alignment horizontal="center" vertical="center"/>
    </xf>
    <xf numFmtId="0" fontId="11" fillId="0" borderId="0" xfId="0" applyNumberFormat="1" applyFont="1" applyBorder="1" applyAlignment="1" applyProtection="1">
      <alignment horizontal="center"/>
    </xf>
    <xf numFmtId="0" fontId="11" fillId="0" borderId="8" xfId="0" applyNumberFormat="1" applyFont="1" applyBorder="1" applyAlignment="1" applyProtection="1">
      <alignment horizontal="center"/>
    </xf>
    <xf numFmtId="0" fontId="20" fillId="0" borderId="0" xfId="0" applyFont="1" applyBorder="1" applyAlignment="1" applyProtection="1">
      <alignment vertical="center"/>
    </xf>
    <xf numFmtId="0" fontId="12" fillId="0" borderId="0" xfId="0" applyFont="1" applyAlignment="1" applyProtection="1">
      <alignment vertical="center"/>
    </xf>
    <xf numFmtId="0" fontId="9" fillId="0" borderId="0" xfId="0" applyFont="1" applyAlignment="1" applyProtection="1">
      <alignment vertical="center"/>
    </xf>
    <xf numFmtId="0" fontId="9" fillId="0" borderId="0" xfId="0" applyFont="1" applyFill="1" applyAlignment="1" applyProtection="1">
      <alignment vertical="center"/>
    </xf>
    <xf numFmtId="0" fontId="10" fillId="0" borderId="0" xfId="0" applyFont="1" applyFill="1" applyAlignment="1" applyProtection="1">
      <alignment horizontal="right" vertical="center" indent="1"/>
    </xf>
    <xf numFmtId="0" fontId="6" fillId="0" borderId="0" xfId="0" applyFont="1" applyAlignment="1" applyProtection="1">
      <alignment vertical="center"/>
    </xf>
    <xf numFmtId="0" fontId="5" fillId="0" borderId="0" xfId="0" applyFont="1" applyAlignment="1" applyProtection="1">
      <alignment vertical="center"/>
    </xf>
    <xf numFmtId="0" fontId="11" fillId="0" borderId="0" xfId="0" applyFont="1" applyBorder="1" applyAlignment="1" applyProtection="1">
      <alignment horizontal="right" vertical="center" wrapText="1" indent="1"/>
    </xf>
    <xf numFmtId="0" fontId="7" fillId="0" borderId="1" xfId="0" applyFont="1" applyBorder="1" applyAlignment="1" applyProtection="1">
      <alignment horizontal="left" vertical="center"/>
    </xf>
    <xf numFmtId="0" fontId="7" fillId="0" borderId="1" xfId="0" applyFont="1" applyBorder="1" applyAlignment="1" applyProtection="1">
      <alignment vertical="center"/>
    </xf>
    <xf numFmtId="4" fontId="11" fillId="0" borderId="0" xfId="0" applyNumberFormat="1" applyFont="1" applyBorder="1" applyAlignment="1" applyProtection="1">
      <alignment horizontal="right" indent="1"/>
    </xf>
    <xf numFmtId="49" fontId="7" fillId="0" borderId="0" xfId="0" applyNumberFormat="1" applyFont="1" applyBorder="1" applyAlignment="1" applyProtection="1">
      <alignment horizontal="left"/>
    </xf>
    <xf numFmtId="1" fontId="21" fillId="0" borderId="0" xfId="0" applyNumberFormat="1" applyFont="1" applyAlignment="1" applyProtection="1">
      <alignment vertical="center"/>
    </xf>
    <xf numFmtId="0" fontId="5" fillId="0" borderId="0" xfId="0" applyFont="1" applyBorder="1" applyProtection="1"/>
    <xf numFmtId="0" fontId="12" fillId="0" borderId="0" xfId="0" applyNumberFormat="1" applyFont="1" applyBorder="1" applyAlignment="1">
      <alignment vertical="center"/>
    </xf>
    <xf numFmtId="0" fontId="19" fillId="0" borderId="0" xfId="0" applyFont="1" applyFill="1" applyAlignment="1">
      <alignment vertical="center"/>
    </xf>
    <xf numFmtId="164" fontId="12" fillId="0" borderId="0" xfId="0" applyNumberFormat="1" applyFont="1" applyFill="1" applyBorder="1" applyAlignment="1">
      <alignment horizontal="center"/>
    </xf>
    <xf numFmtId="0" fontId="12" fillId="0" borderId="0" xfId="0" applyNumberFormat="1" applyFont="1" applyFill="1" applyBorder="1" applyAlignment="1">
      <alignment horizontal="left"/>
    </xf>
    <xf numFmtId="164" fontId="12" fillId="0" borderId="0" xfId="0" applyNumberFormat="1" applyFont="1" applyFill="1" applyBorder="1" applyAlignment="1">
      <alignment vertical="center"/>
    </xf>
    <xf numFmtId="0" fontId="12" fillId="0" borderId="0" xfId="0" applyNumberFormat="1" applyFont="1" applyFill="1" applyBorder="1" applyAlignment="1">
      <alignment vertical="center"/>
    </xf>
    <xf numFmtId="171" fontId="12" fillId="0" borderId="0" xfId="0" applyNumberFormat="1" applyFont="1" applyFill="1" applyBorder="1" applyAlignment="1">
      <alignment horizontal="center"/>
    </xf>
    <xf numFmtId="49" fontId="12" fillId="0" borderId="0" xfId="2" quotePrefix="1" applyNumberFormat="1" applyFont="1" applyFill="1" applyAlignment="1">
      <alignment wrapText="1"/>
    </xf>
    <xf numFmtId="0" fontId="12" fillId="0" borderId="0" xfId="0" applyNumberFormat="1" applyFont="1" applyFill="1" applyBorder="1" applyAlignment="1">
      <alignment horizontal="left" indent="1"/>
    </xf>
    <xf numFmtId="0" fontId="5" fillId="0" borderId="0" xfId="0" applyNumberFormat="1" applyFont="1" applyFill="1" applyBorder="1" applyAlignment="1">
      <alignment horizontal="center"/>
    </xf>
    <xf numFmtId="0" fontId="19" fillId="0" borderId="0" xfId="0" applyFont="1" applyAlignment="1">
      <alignment vertical="center"/>
    </xf>
    <xf numFmtId="164" fontId="12" fillId="0" borderId="0" xfId="0" applyNumberFormat="1" applyFont="1" applyBorder="1" applyAlignment="1">
      <alignment vertical="center"/>
    </xf>
    <xf numFmtId="0" fontId="25" fillId="0" borderId="0" xfId="3" applyFont="1" applyAlignment="1" applyProtection="1">
      <alignment horizontal="left" vertical="center" wrapText="1"/>
    </xf>
    <xf numFmtId="0" fontId="21" fillId="0" borderId="12" xfId="0" applyNumberFormat="1" applyFont="1" applyBorder="1" applyAlignment="1" applyProtection="1">
      <alignment horizontal="left" vertical="center"/>
      <protection locked="0"/>
    </xf>
    <xf numFmtId="0" fontId="33" fillId="0" borderId="0" xfId="0" applyFont="1" applyFill="1" applyBorder="1" applyAlignment="1" applyProtection="1">
      <alignment horizontal="center" vertical="center"/>
    </xf>
    <xf numFmtId="0" fontId="6" fillId="0" borderId="0"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23" fillId="0" borderId="0" xfId="0" applyFont="1" applyAlignment="1" applyProtection="1">
      <alignment horizontal="center" vertical="center" wrapText="1"/>
    </xf>
    <xf numFmtId="0" fontId="7" fillId="0" borderId="0" xfId="0" applyFont="1" applyAlignment="1" applyProtection="1">
      <alignment horizontal="left" vertical="center" wrapText="1"/>
    </xf>
    <xf numFmtId="0" fontId="9" fillId="0" borderId="0" xfId="0" applyFont="1" applyFill="1" applyBorder="1" applyAlignment="1" applyProtection="1">
      <alignment horizontal="left" vertical="center"/>
    </xf>
    <xf numFmtId="0" fontId="20" fillId="0" borderId="0" xfId="0" applyFont="1" applyFill="1" applyBorder="1" applyAlignment="1" applyProtection="1">
      <alignment horizontal="right" vertical="center"/>
    </xf>
    <xf numFmtId="0" fontId="21" fillId="0" borderId="0" xfId="0" applyFont="1" applyFill="1" applyBorder="1" applyAlignment="1" applyProtection="1">
      <alignment horizontal="right" vertical="center"/>
      <protection hidden="1"/>
    </xf>
    <xf numFmtId="164" fontId="22" fillId="4" borderId="0" xfId="0" applyNumberFormat="1" applyFont="1" applyFill="1" applyAlignment="1" applyProtection="1">
      <alignment horizontal="center" vertical="center"/>
      <protection locked="0"/>
    </xf>
    <xf numFmtId="0" fontId="21" fillId="5" borderId="0" xfId="0" applyFont="1" applyFill="1" applyBorder="1" applyAlignment="1" applyProtection="1">
      <alignment horizontal="left"/>
      <protection locked="0"/>
    </xf>
    <xf numFmtId="0" fontId="5" fillId="0" borderId="0" xfId="0" applyFont="1" applyBorder="1" applyAlignment="1" applyProtection="1">
      <alignment horizontal="center" vertical="center" wrapText="1"/>
    </xf>
    <xf numFmtId="0" fontId="32" fillId="0" borderId="0" xfId="0" applyFont="1" applyFill="1" applyBorder="1" applyAlignment="1" applyProtection="1">
      <alignment horizontal="center"/>
    </xf>
    <xf numFmtId="0" fontId="12" fillId="0" borderId="0" xfId="0" applyFont="1" applyAlignment="1" applyProtection="1">
      <alignment horizontal="center" vertical="center"/>
    </xf>
    <xf numFmtId="0" fontId="37" fillId="0" borderId="0" xfId="0" applyFont="1" applyAlignment="1" applyProtection="1">
      <alignment horizontal="center" vertical="center"/>
    </xf>
    <xf numFmtId="0" fontId="12" fillId="0" borderId="0" xfId="0" applyFont="1" applyFill="1" applyBorder="1" applyAlignment="1" applyProtection="1">
      <alignment horizontal="center" vertical="top"/>
    </xf>
    <xf numFmtId="0" fontId="6" fillId="0" borderId="0" xfId="0" applyFont="1" applyFill="1" applyBorder="1" applyAlignment="1" applyProtection="1">
      <alignment horizontal="left" vertical="center" wrapText="1"/>
    </xf>
    <xf numFmtId="0" fontId="11" fillId="0" borderId="11" xfId="0" applyFont="1" applyBorder="1" applyAlignment="1" applyProtection="1">
      <alignment horizontal="left" vertical="center" wrapText="1"/>
    </xf>
    <xf numFmtId="0" fontId="39" fillId="0" borderId="0" xfId="7" applyFont="1" applyBorder="1" applyAlignment="1" applyProtection="1">
      <alignment horizontal="right"/>
    </xf>
    <xf numFmtId="0" fontId="7" fillId="0" borderId="0" xfId="7" applyFont="1" applyAlignment="1" applyProtection="1">
      <alignment horizontal="left" vertical="center" wrapText="1"/>
    </xf>
    <xf numFmtId="0" fontId="42" fillId="0" borderId="0" xfId="7" applyFont="1" applyAlignment="1" applyProtection="1">
      <alignment horizontal="right" wrapText="1"/>
    </xf>
    <xf numFmtId="0" fontId="42" fillId="0" borderId="0" xfId="7" applyFont="1" applyAlignment="1" applyProtection="1">
      <alignment horizontal="right"/>
    </xf>
    <xf numFmtId="0" fontId="20" fillId="0" borderId="0" xfId="0" applyFont="1" applyBorder="1" applyAlignment="1" applyProtection="1">
      <alignment horizontal="right" vertical="center"/>
      <protection hidden="1"/>
    </xf>
    <xf numFmtId="0" fontId="21" fillId="0" borderId="0" xfId="0" applyFont="1" applyAlignment="1" applyProtection="1">
      <alignment horizontal="right" vertical="center"/>
      <protection hidden="1"/>
    </xf>
    <xf numFmtId="0" fontId="38" fillId="0" borderId="0" xfId="0" applyFont="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left" vertical="center" indent="2"/>
    </xf>
    <xf numFmtId="0" fontId="11" fillId="0" borderId="3" xfId="0" applyFont="1" applyBorder="1" applyAlignment="1" applyProtection="1">
      <alignment horizontal="left" vertical="center" indent="2"/>
    </xf>
    <xf numFmtId="0" fontId="11" fillId="0" borderId="4" xfId="0" applyFont="1" applyBorder="1" applyAlignment="1" applyProtection="1">
      <alignment horizontal="left" vertical="center"/>
    </xf>
    <xf numFmtId="0" fontId="11" fillId="0" borderId="3" xfId="0" applyFont="1" applyBorder="1" applyAlignment="1" applyProtection="1">
      <alignment horizontal="left" vertical="center"/>
    </xf>
    <xf numFmtId="0" fontId="11" fillId="0" borderId="5" xfId="0" applyFont="1" applyBorder="1" applyAlignment="1" applyProtection="1">
      <alignment horizontal="left" vertical="center"/>
    </xf>
    <xf numFmtId="0" fontId="7" fillId="0" borderId="0" xfId="0" applyFont="1" applyAlignment="1" applyProtection="1">
      <alignment horizontal="center" vertical="center" wrapText="1"/>
    </xf>
    <xf numFmtId="0" fontId="20" fillId="0" borderId="0" xfId="0" applyFont="1" applyBorder="1" applyAlignment="1" applyProtection="1">
      <alignment horizontal="right" vertical="center"/>
    </xf>
    <xf numFmtId="0" fontId="21" fillId="0" borderId="0" xfId="0" applyFont="1" applyAlignment="1" applyProtection="1">
      <alignment horizontal="right" vertical="center"/>
    </xf>
    <xf numFmtId="0" fontId="13" fillId="0" borderId="0" xfId="0" applyFont="1" applyAlignment="1" applyProtection="1">
      <alignment horizontal="center" vertical="center"/>
    </xf>
    <xf numFmtId="0" fontId="7" fillId="0" borderId="1" xfId="0" applyFont="1" applyBorder="1" applyAlignment="1" applyProtection="1">
      <alignment horizontal="left" vertical="center"/>
    </xf>
    <xf numFmtId="0" fontId="7" fillId="0" borderId="1" xfId="0" applyFont="1" applyBorder="1" applyAlignment="1" applyProtection="1">
      <alignment horizontal="left" vertical="center"/>
      <protection locked="0"/>
    </xf>
    <xf numFmtId="0" fontId="11" fillId="0" borderId="2" xfId="0" applyFont="1" applyBorder="1" applyAlignment="1" applyProtection="1">
      <alignment horizontal="left" vertical="center"/>
      <protection locked="0"/>
    </xf>
    <xf numFmtId="49" fontId="11" fillId="0" borderId="8" xfId="0" applyNumberFormat="1" applyFont="1" applyBorder="1" applyAlignment="1" applyProtection="1">
      <alignment horizontal="center"/>
      <protection locked="0"/>
    </xf>
    <xf numFmtId="1" fontId="21" fillId="0" borderId="7" xfId="0" applyNumberFormat="1" applyFont="1" applyBorder="1" applyAlignment="1" applyProtection="1">
      <alignment horizontal="center" vertical="center"/>
    </xf>
    <xf numFmtId="1" fontId="21" fillId="0" borderId="6" xfId="0" applyNumberFormat="1" applyFont="1" applyBorder="1" applyAlignment="1" applyProtection="1">
      <alignment horizontal="center" vertical="center"/>
    </xf>
    <xf numFmtId="1" fontId="21" fillId="0" borderId="2" xfId="0" applyNumberFormat="1" applyFont="1" applyBorder="1" applyAlignment="1" applyProtection="1">
      <alignment horizontal="center" vertical="center"/>
    </xf>
    <xf numFmtId="0" fontId="5" fillId="0" borderId="0" xfId="0" applyFont="1" applyAlignment="1" applyProtection="1">
      <alignment horizontal="center"/>
    </xf>
    <xf numFmtId="0" fontId="5" fillId="0" borderId="8" xfId="0" quotePrefix="1" applyFont="1" applyBorder="1" applyAlignment="1" applyProtection="1">
      <alignment horizontal="center"/>
    </xf>
    <xf numFmtId="1" fontId="21" fillId="0" borderId="2" xfId="0" applyNumberFormat="1" applyFont="1" applyBorder="1" applyAlignment="1" applyProtection="1">
      <alignment horizontal="left" vertical="center"/>
    </xf>
    <xf numFmtId="1" fontId="7" fillId="0" borderId="8" xfId="1" applyNumberFormat="1" applyFont="1" applyBorder="1" applyAlignment="1" applyProtection="1">
      <alignment horizontal="center" vertical="center"/>
    </xf>
    <xf numFmtId="49" fontId="7" fillId="0" borderId="8" xfId="0" applyNumberFormat="1" applyFont="1" applyBorder="1" applyAlignment="1" applyProtection="1">
      <alignment horizontal="center" vertical="center"/>
    </xf>
    <xf numFmtId="0" fontId="5" fillId="0" borderId="0" xfId="0" applyFont="1" applyBorder="1" applyAlignment="1" applyProtection="1">
      <alignment horizontal="center"/>
    </xf>
    <xf numFmtId="0" fontId="11" fillId="0" borderId="2" xfId="0" applyFont="1" applyBorder="1" applyAlignment="1" applyProtection="1">
      <alignment horizontal="left" vertical="center"/>
    </xf>
    <xf numFmtId="0" fontId="11" fillId="0" borderId="8" xfId="0" applyNumberFormat="1" applyFont="1" applyBorder="1" applyAlignment="1" applyProtection="1">
      <alignment horizontal="center"/>
    </xf>
    <xf numFmtId="0" fontId="11" fillId="0" borderId="1" xfId="0" applyFont="1" applyBorder="1" applyAlignment="1" applyProtection="1">
      <alignment horizontal="left" vertical="center"/>
    </xf>
    <xf numFmtId="0" fontId="11" fillId="0" borderId="5" xfId="0" applyFont="1" applyBorder="1" applyAlignment="1" applyProtection="1">
      <alignment horizontal="center" vertical="center"/>
    </xf>
    <xf numFmtId="0" fontId="11" fillId="0" borderId="4" xfId="0" applyFont="1" applyBorder="1" applyAlignment="1" applyProtection="1">
      <alignment horizontal="center" vertical="center"/>
    </xf>
    <xf numFmtId="0" fontId="21" fillId="0" borderId="7" xfId="0" applyNumberFormat="1" applyFont="1" applyBorder="1" applyAlignment="1" applyProtection="1">
      <alignment horizontal="center" vertical="center"/>
    </xf>
    <xf numFmtId="0" fontId="21" fillId="0" borderId="6" xfId="0" applyNumberFormat="1" applyFont="1" applyBorder="1" applyAlignment="1" applyProtection="1">
      <alignment horizontal="center" vertical="center"/>
    </xf>
    <xf numFmtId="1" fontId="21" fillId="0" borderId="7" xfId="0" applyNumberFormat="1" applyFont="1" applyBorder="1" applyAlignment="1" applyProtection="1">
      <alignment horizontal="left" vertical="center" indent="1"/>
    </xf>
    <xf numFmtId="1" fontId="21" fillId="0" borderId="2" xfId="0" applyNumberFormat="1" applyFont="1" applyBorder="1" applyAlignment="1" applyProtection="1">
      <alignment horizontal="left" vertical="center" indent="1"/>
    </xf>
    <xf numFmtId="0" fontId="6" fillId="0" borderId="0" xfId="0" quotePrefix="1" applyFont="1" applyBorder="1" applyAlignment="1" applyProtection="1">
      <alignment horizontal="center"/>
    </xf>
    <xf numFmtId="0" fontId="5" fillId="0" borderId="1" xfId="0" applyFont="1" applyBorder="1" applyAlignment="1" applyProtection="1">
      <alignment horizontal="center"/>
    </xf>
    <xf numFmtId="0" fontId="5" fillId="0" borderId="11" xfId="0" applyFont="1" applyBorder="1" applyAlignment="1" applyProtection="1">
      <alignment horizontal="center"/>
    </xf>
  </cellXfs>
  <cellStyles count="11">
    <cellStyle name="Euro" xfId="4"/>
    <cellStyle name="Euro 2" xfId="5"/>
    <cellStyle name="Euro 3" xfId="6"/>
    <cellStyle name="Prozent" xfId="9" builtinId="5"/>
    <cellStyle name="Standard" xfId="0" builtinId="0"/>
    <cellStyle name="Standard 2" xfId="1"/>
    <cellStyle name="Standard 2 2" xfId="7"/>
    <cellStyle name="Standard 3" xfId="2"/>
    <cellStyle name="Standard 4" xfId="3"/>
    <cellStyle name="Standard 5" xfId="8"/>
    <cellStyle name="Standard 6" xfId="10"/>
  </cellStyles>
  <dxfs count="6">
    <dxf>
      <fill>
        <patternFill patternType="none">
          <bgColor auto="1"/>
        </patternFill>
      </fill>
    </dxf>
    <dxf>
      <font>
        <color theme="0"/>
      </font>
      <border>
        <left/>
        <right/>
        <top/>
        <bottom/>
        <vertical/>
        <horizontal/>
      </border>
    </dxf>
    <dxf>
      <font>
        <color theme="0"/>
      </font>
      <border>
        <left/>
        <right/>
        <top/>
        <bottom/>
      </border>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D99795"/>
      <color rgb="FFDEDE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Drop" dropLines="29" dropStyle="combo" dx="16" fmlaLink="Kassenbuch!$S$21" fmlaRange="SaKo18" sel="0" val="0"/>
</file>

<file path=xl/ctrlProps/ctrlProp10.xml><?xml version="1.0" encoding="utf-8"?>
<formControlPr xmlns="http://schemas.microsoft.com/office/spreadsheetml/2009/9/main" objectType="Drop" dropLines="29" dropStyle="combo" dx="16" fmlaLink="Kassenbuch!$S$30" fmlaRange="SaKo27" sel="0" val="0"/>
</file>

<file path=xl/ctrlProps/ctrlProp11.xml><?xml version="1.0" encoding="utf-8"?>
<formControlPr xmlns="http://schemas.microsoft.com/office/spreadsheetml/2009/9/main" objectType="Drop" dropLines="29" dropStyle="combo" dx="16" fmlaLink="Kassenbuch!$S$31" fmlaRange="SaKo28" sel="0" val="0"/>
</file>

<file path=xl/ctrlProps/ctrlProp12.xml><?xml version="1.0" encoding="utf-8"?>
<formControlPr xmlns="http://schemas.microsoft.com/office/spreadsheetml/2009/9/main" objectType="Drop" dropLines="29" dropStyle="combo" dx="16" fmlaLink="Kassenbuch!$S$32" fmlaRange="SaKo29" sel="0" val="0"/>
</file>

<file path=xl/ctrlProps/ctrlProp13.xml><?xml version="1.0" encoding="utf-8"?>
<formControlPr xmlns="http://schemas.microsoft.com/office/spreadsheetml/2009/9/main" objectType="Drop" dropLines="29" dropStyle="combo" dx="16" fmlaLink="Kassenbuch!$S$33" fmlaRange="SaKo30" sel="0" val="0"/>
</file>

<file path=xl/ctrlProps/ctrlProp14.xml><?xml version="1.0" encoding="utf-8"?>
<formControlPr xmlns="http://schemas.microsoft.com/office/spreadsheetml/2009/9/main" objectType="Drop" dropLines="29" dropStyle="combo" dx="16" fmlaLink="Kassenbuch!$S$34" fmlaRange="SaKo31" sel="0" val="0"/>
</file>

<file path=xl/ctrlProps/ctrlProp15.xml><?xml version="1.0" encoding="utf-8"?>
<formControlPr xmlns="http://schemas.microsoft.com/office/spreadsheetml/2009/9/main" objectType="Drop" dropLines="29" dropStyle="combo" dx="16" fmlaLink="Kassenbuch!$S$35" fmlaRange="SaKo32" sel="0" val="0"/>
</file>

<file path=xl/ctrlProps/ctrlProp16.xml><?xml version="1.0" encoding="utf-8"?>
<formControlPr xmlns="http://schemas.microsoft.com/office/spreadsheetml/2009/9/main" objectType="Drop" dropLines="29" dropStyle="combo" dx="16" fmlaLink="Kassenbuch!$S$36" fmlaRange="SaKo33" sel="0" val="0"/>
</file>

<file path=xl/ctrlProps/ctrlProp17.xml><?xml version="1.0" encoding="utf-8"?>
<formControlPr xmlns="http://schemas.microsoft.com/office/spreadsheetml/2009/9/main" objectType="Drop" dropLines="29" dropStyle="combo" dx="16" fmlaLink="Kassenbuch!$S$37" fmlaRange="SaKo34" sel="0" val="0"/>
</file>

<file path=xl/ctrlProps/ctrlProp18.xml><?xml version="1.0" encoding="utf-8"?>
<formControlPr xmlns="http://schemas.microsoft.com/office/spreadsheetml/2009/9/main" objectType="Drop" dropLines="29" dropStyle="combo" dx="16" fmlaLink="Kassenbuch!$S$38" fmlaRange="SaKo35" sel="0" val="0"/>
</file>

<file path=xl/ctrlProps/ctrlProp19.xml><?xml version="1.0" encoding="utf-8"?>
<formControlPr xmlns="http://schemas.microsoft.com/office/spreadsheetml/2009/9/main" objectType="Drop" dropLines="29" dropStyle="combo" dx="16" fmlaLink="Kassenbuch!$S$39" fmlaRange="SaKo36" sel="0" val="0"/>
</file>

<file path=xl/ctrlProps/ctrlProp2.xml><?xml version="1.0" encoding="utf-8"?>
<formControlPr xmlns="http://schemas.microsoft.com/office/spreadsheetml/2009/9/main" objectType="Drop" dropLines="29" dropStyle="combo" dx="16" fmlaLink="Kassenbuch!$S$22" fmlaRange="SaKo19" sel="0" val="0"/>
</file>

<file path=xl/ctrlProps/ctrlProp20.xml><?xml version="1.0" encoding="utf-8"?>
<formControlPr xmlns="http://schemas.microsoft.com/office/spreadsheetml/2009/9/main" objectType="Drop" dropLines="29" dropStyle="combo" dx="16" fmlaLink="$S$40" fmlaRange="SaKo37" sel="0" val="0"/>
</file>

<file path=xl/ctrlProps/ctrlProp21.xml><?xml version="1.0" encoding="utf-8"?>
<formControlPr xmlns="http://schemas.microsoft.com/office/spreadsheetml/2009/9/main" objectType="Drop" dropLines="29" dropStyle="combo" dx="16" fmlaLink="Kassenbuch!$S$41" fmlaRange="SaKo38" sel="0" val="0"/>
</file>

<file path=xl/ctrlProps/ctrlProp22.xml><?xml version="1.0" encoding="utf-8"?>
<formControlPr xmlns="http://schemas.microsoft.com/office/spreadsheetml/2009/9/main" objectType="Drop" dropLines="29" dropStyle="combo" dx="16" fmlaLink="Kassenbuch!$S$42" fmlaRange="SaKo39" sel="0" val="0"/>
</file>

<file path=xl/ctrlProps/ctrlProp23.xml><?xml version="1.0" encoding="utf-8"?>
<formControlPr xmlns="http://schemas.microsoft.com/office/spreadsheetml/2009/9/main" objectType="Drop" dropLines="29" dropStyle="combo" dx="16" fmlaLink="Kassenbuch!$S$43" fmlaRange="SaKo40" sel="0" val="0"/>
</file>

<file path=xl/ctrlProps/ctrlProp24.xml><?xml version="1.0" encoding="utf-8"?>
<formControlPr xmlns="http://schemas.microsoft.com/office/spreadsheetml/2009/9/main" objectType="Drop" dropLines="29" dropStyle="combo" dx="16" fmlaLink="Kassenbuch!$S$44" fmlaRange="SaKo41" sel="0" val="0"/>
</file>

<file path=xl/ctrlProps/ctrlProp25.xml><?xml version="1.0" encoding="utf-8"?>
<formControlPr xmlns="http://schemas.microsoft.com/office/spreadsheetml/2009/9/main" objectType="Drop" dropLines="29" dropStyle="combo" dx="16" fmlaLink="Kassenbuch!$S$45" fmlaRange="SaKo42" sel="0" val="0"/>
</file>

<file path=xl/ctrlProps/ctrlProp26.xml><?xml version="1.0" encoding="utf-8"?>
<formControlPr xmlns="http://schemas.microsoft.com/office/spreadsheetml/2009/9/main" objectType="Drop" dropLines="29" dropStyle="combo" dx="16" fmlaLink="Kassenbuch!$S$46" fmlaRange="SaKo43" sel="0" val="0"/>
</file>

<file path=xl/ctrlProps/ctrlProp27.xml><?xml version="1.0" encoding="utf-8"?>
<formControlPr xmlns="http://schemas.microsoft.com/office/spreadsheetml/2009/9/main" objectType="Drop" dropLines="29" dropStyle="combo" dx="16" fmlaLink="Kassenbuch!$S$47" fmlaRange="SaKo44" sel="0" val="0"/>
</file>

<file path=xl/ctrlProps/ctrlProp28.xml><?xml version="1.0" encoding="utf-8"?>
<formControlPr xmlns="http://schemas.microsoft.com/office/spreadsheetml/2009/9/main" objectType="Drop" dropLines="29" dropStyle="combo" dx="16" fmlaLink="Kassenbuch!$S$48" fmlaRange="SaKo45" sel="0" val="0"/>
</file>

<file path=xl/ctrlProps/ctrlProp29.xml><?xml version="1.0" encoding="utf-8"?>
<formControlPr xmlns="http://schemas.microsoft.com/office/spreadsheetml/2009/9/main" objectType="Drop" dropLines="29" dropStyle="combo" dx="16" fmlaLink="Kassenbuch!$S$49" fmlaRange="SaKo46" sel="0" val="0"/>
</file>

<file path=xl/ctrlProps/ctrlProp3.xml><?xml version="1.0" encoding="utf-8"?>
<formControlPr xmlns="http://schemas.microsoft.com/office/spreadsheetml/2009/9/main" objectType="Drop" dropLines="29" dropStyle="combo" dx="16" fmlaLink="Kassenbuch!$S$23" fmlaRange="SaKo20" sel="0" val="0"/>
</file>

<file path=xl/ctrlProps/ctrlProp30.xml><?xml version="1.0" encoding="utf-8"?>
<formControlPr xmlns="http://schemas.microsoft.com/office/spreadsheetml/2009/9/main" objectType="Drop" dropLines="29" dropStyle="combo" dx="16" fmlaLink="Kassenbuch!$S$50" fmlaRange="SaKo47" sel="0" val="0"/>
</file>

<file path=xl/ctrlProps/ctrlProp31.xml><?xml version="1.0" encoding="utf-8"?>
<formControlPr xmlns="http://schemas.microsoft.com/office/spreadsheetml/2009/9/main" objectType="Drop" dropLines="29" dropStyle="combo" dx="16" fmlaLink="Kassenbuch!$S$51" fmlaRange="SaKo48" sel="0" val="0"/>
</file>

<file path=xl/ctrlProps/ctrlProp32.xml><?xml version="1.0" encoding="utf-8"?>
<formControlPr xmlns="http://schemas.microsoft.com/office/spreadsheetml/2009/9/main" objectType="Drop" dropLines="29" dropStyle="combo" dx="16" fmlaLink="Kassenbuch!$S$52" fmlaRange="SaKo49" sel="0" val="0"/>
</file>

<file path=xl/ctrlProps/ctrlProp33.xml><?xml version="1.0" encoding="utf-8"?>
<formControlPr xmlns="http://schemas.microsoft.com/office/spreadsheetml/2009/9/main" objectType="Drop" dropLines="29" dropStyle="combo" dx="16" fmlaLink="Kassenbuch!$S$53" fmlaRange="SaKo50" sel="0" val="0"/>
</file>

<file path=xl/ctrlProps/ctrlProp34.xml><?xml version="1.0" encoding="utf-8"?>
<formControlPr xmlns="http://schemas.microsoft.com/office/spreadsheetml/2009/9/main" objectType="Drop" dropLines="29" dropStyle="combo" dx="16" fmlaLink="Kassenbuch!$S$54" fmlaRange="SaKo51" sel="0" val="0"/>
</file>

<file path=xl/ctrlProps/ctrlProp35.xml><?xml version="1.0" encoding="utf-8"?>
<formControlPr xmlns="http://schemas.microsoft.com/office/spreadsheetml/2009/9/main" objectType="Drop" dropLines="29" dropStyle="combo" dx="16" fmlaLink="Kassenbuch!$S$55" fmlaRange="SaKo52" sel="0" val="0"/>
</file>

<file path=xl/ctrlProps/ctrlProp36.xml><?xml version="1.0" encoding="utf-8"?>
<formControlPr xmlns="http://schemas.microsoft.com/office/spreadsheetml/2009/9/main" objectType="Drop" dropLines="29" dropStyle="combo" dx="16" fmlaLink="Kassenbuch!$S$56" fmlaRange="SaKo53" sel="0" val="0"/>
</file>

<file path=xl/ctrlProps/ctrlProp37.xml><?xml version="1.0" encoding="utf-8"?>
<formControlPr xmlns="http://schemas.microsoft.com/office/spreadsheetml/2009/9/main" objectType="Drop" dropLines="29" dropStyle="combo" dx="16" fmlaLink="Kassenbuch!$S$57" fmlaRange="SaKo54" sel="0" val="0"/>
</file>

<file path=xl/ctrlProps/ctrlProp38.xml><?xml version="1.0" encoding="utf-8"?>
<formControlPr xmlns="http://schemas.microsoft.com/office/spreadsheetml/2009/9/main" objectType="Drop" dropLines="29" dropStyle="combo" dx="16" fmlaLink="Kassenbuch!$S$58" fmlaRange="SaKo55" sel="0" val="0"/>
</file>

<file path=xl/ctrlProps/ctrlProp39.xml><?xml version="1.0" encoding="utf-8"?>
<formControlPr xmlns="http://schemas.microsoft.com/office/spreadsheetml/2009/9/main" objectType="Drop" dropLines="29" dropStyle="combo" dx="16" fmlaLink="Kassenbuch!$S$59" fmlaRange="SaKo56" sel="0" val="0"/>
</file>

<file path=xl/ctrlProps/ctrlProp4.xml><?xml version="1.0" encoding="utf-8"?>
<formControlPr xmlns="http://schemas.microsoft.com/office/spreadsheetml/2009/9/main" objectType="Drop" dropLines="29" dropStyle="combo" dx="16" fmlaLink="Kassenbuch!$S$24" fmlaRange="SaKo21" sel="0" val="0"/>
</file>

<file path=xl/ctrlProps/ctrlProp40.xml><?xml version="1.0" encoding="utf-8"?>
<formControlPr xmlns="http://schemas.microsoft.com/office/spreadsheetml/2009/9/main" objectType="Drop" dropLines="29" dropStyle="combo" dx="16" fmlaLink="Kassenbuch!$S$60" fmlaRange="SaKo57" sel="0" val="0"/>
</file>

<file path=xl/ctrlProps/ctrlProp41.xml><?xml version="1.0" encoding="utf-8"?>
<formControlPr xmlns="http://schemas.microsoft.com/office/spreadsheetml/2009/9/main" objectType="Drop" dropLines="29" dropStyle="combo" dx="16" fmlaLink="Kassenbuch!$S$61" fmlaRange="SaKo58" sel="0" val="0"/>
</file>

<file path=xl/ctrlProps/ctrlProp42.xml><?xml version="1.0" encoding="utf-8"?>
<formControlPr xmlns="http://schemas.microsoft.com/office/spreadsheetml/2009/9/main" objectType="Drop" dropLines="29" dropStyle="combo" dx="16" fmlaLink="Kassenbuch!$S$62" fmlaRange="SaKo59" sel="0" val="0"/>
</file>

<file path=xl/ctrlProps/ctrlProp43.xml><?xml version="1.0" encoding="utf-8"?>
<formControlPr xmlns="http://schemas.microsoft.com/office/spreadsheetml/2009/9/main" objectType="Drop" dropLines="29" dropStyle="combo" dx="16" fmlaLink="Kassenbuch!$S$63" fmlaRange="SaKo60" sel="0" val="0"/>
</file>

<file path=xl/ctrlProps/ctrlProp44.xml><?xml version="1.0" encoding="utf-8"?>
<formControlPr xmlns="http://schemas.microsoft.com/office/spreadsheetml/2009/9/main" objectType="Drop" dropLines="29" dropStyle="combo" dx="16" fmlaLink="Kassenbuch!$S$64" fmlaRange="SaKo61" sel="0" val="0"/>
</file>

<file path=xl/ctrlProps/ctrlProp45.xml><?xml version="1.0" encoding="utf-8"?>
<formControlPr xmlns="http://schemas.microsoft.com/office/spreadsheetml/2009/9/main" objectType="Drop" dropLines="29" dropStyle="combo" dx="16" fmlaLink="Kassenbuch!$S$65" fmlaRange="SaKo62" sel="0" val="0"/>
</file>

<file path=xl/ctrlProps/ctrlProp46.xml><?xml version="1.0" encoding="utf-8"?>
<formControlPr xmlns="http://schemas.microsoft.com/office/spreadsheetml/2009/9/main" objectType="Drop" dropLines="29" dropStyle="combo" dx="16" fmlaLink="Kassenbuch!$S$66" fmlaRange="SaKo63" sel="0" val="0"/>
</file>

<file path=xl/ctrlProps/ctrlProp47.xml><?xml version="1.0" encoding="utf-8"?>
<formControlPr xmlns="http://schemas.microsoft.com/office/spreadsheetml/2009/9/main" objectType="Drop" dropLines="29" dropStyle="combo" dx="16" fmlaLink="Kassenbuch!$S$67" fmlaRange="SaKo64" sel="0" val="0"/>
</file>

<file path=xl/ctrlProps/ctrlProp48.xml><?xml version="1.0" encoding="utf-8"?>
<formControlPr xmlns="http://schemas.microsoft.com/office/spreadsheetml/2009/9/main" objectType="Drop" dropLines="29" dropStyle="combo" dx="16" fmlaLink="Kassenbuch!$S$68" fmlaRange="SaKo65" sel="0" val="0"/>
</file>

<file path=xl/ctrlProps/ctrlProp49.xml><?xml version="1.0" encoding="utf-8"?>
<formControlPr xmlns="http://schemas.microsoft.com/office/spreadsheetml/2009/9/main" objectType="Drop" dropStyle="combo" dx="16" fmlaLink="$R$20" fmlaRange="Gruppen" noThreeD="1" sel="0" val="0"/>
</file>

<file path=xl/ctrlProps/ctrlProp5.xml><?xml version="1.0" encoding="utf-8"?>
<formControlPr xmlns="http://schemas.microsoft.com/office/spreadsheetml/2009/9/main" objectType="Drop" dropLines="29" dropStyle="combo" dx="16" fmlaLink="Kassenbuch!$S$25" fmlaRange="SaKo22" sel="0" val="0"/>
</file>

<file path=xl/ctrlProps/ctrlProp50.xml><?xml version="1.0" encoding="utf-8"?>
<formControlPr xmlns="http://schemas.microsoft.com/office/spreadsheetml/2009/9/main" objectType="Drop" dropStyle="combo" dx="16" fmlaLink="$R$21" fmlaRange="Gruppen" noThreeD="1" sel="0" val="0"/>
</file>

<file path=xl/ctrlProps/ctrlProp51.xml><?xml version="1.0" encoding="utf-8"?>
<formControlPr xmlns="http://schemas.microsoft.com/office/spreadsheetml/2009/9/main" objectType="Drop" dropStyle="combo" dx="16" fmlaLink="$R$22" fmlaRange="Gruppen" noThreeD="1" sel="0" val="0"/>
</file>

<file path=xl/ctrlProps/ctrlProp52.xml><?xml version="1.0" encoding="utf-8"?>
<formControlPr xmlns="http://schemas.microsoft.com/office/spreadsheetml/2009/9/main" objectType="Drop" dropStyle="combo" dx="16" fmlaLink="$R$23" fmlaRange="Gruppen" noThreeD="1" sel="0" val="0"/>
</file>

<file path=xl/ctrlProps/ctrlProp53.xml><?xml version="1.0" encoding="utf-8"?>
<formControlPr xmlns="http://schemas.microsoft.com/office/spreadsheetml/2009/9/main" objectType="Drop" dropStyle="combo" dx="16" fmlaLink="$R$24" fmlaRange="Gruppen" noThreeD="1" sel="0" val="0"/>
</file>

<file path=xl/ctrlProps/ctrlProp54.xml><?xml version="1.0" encoding="utf-8"?>
<formControlPr xmlns="http://schemas.microsoft.com/office/spreadsheetml/2009/9/main" objectType="Drop" dropStyle="combo" dx="16" fmlaLink="$R$25" fmlaRange="Gruppen" noThreeD="1" sel="0" val="0"/>
</file>

<file path=xl/ctrlProps/ctrlProp55.xml><?xml version="1.0" encoding="utf-8"?>
<formControlPr xmlns="http://schemas.microsoft.com/office/spreadsheetml/2009/9/main" objectType="Drop" dropStyle="combo" dx="16" fmlaLink="$R$26" fmlaRange="Gruppen" noThreeD="1" sel="0" val="0"/>
</file>

<file path=xl/ctrlProps/ctrlProp56.xml><?xml version="1.0" encoding="utf-8"?>
<formControlPr xmlns="http://schemas.microsoft.com/office/spreadsheetml/2009/9/main" objectType="Drop" dropStyle="combo" dx="16" fmlaLink="$R$27" fmlaRange="Gruppen" noThreeD="1" sel="0" val="0"/>
</file>

<file path=xl/ctrlProps/ctrlProp57.xml><?xml version="1.0" encoding="utf-8"?>
<formControlPr xmlns="http://schemas.microsoft.com/office/spreadsheetml/2009/9/main" objectType="Drop" dropStyle="combo" dx="16" fmlaLink="$R$28" fmlaRange="Gruppen" noThreeD="1" sel="0" val="0"/>
</file>

<file path=xl/ctrlProps/ctrlProp58.xml><?xml version="1.0" encoding="utf-8"?>
<formControlPr xmlns="http://schemas.microsoft.com/office/spreadsheetml/2009/9/main" objectType="Drop" dropStyle="combo" dx="16" fmlaLink="$R$29" fmlaRange="Gruppen" noThreeD="1" sel="0" val="0"/>
</file>

<file path=xl/ctrlProps/ctrlProp59.xml><?xml version="1.0" encoding="utf-8"?>
<formControlPr xmlns="http://schemas.microsoft.com/office/spreadsheetml/2009/9/main" objectType="Drop" dropStyle="combo" dx="16" fmlaLink="$R$30" fmlaRange="Gruppen" noThreeD="1" sel="0" val="0"/>
</file>

<file path=xl/ctrlProps/ctrlProp6.xml><?xml version="1.0" encoding="utf-8"?>
<formControlPr xmlns="http://schemas.microsoft.com/office/spreadsheetml/2009/9/main" objectType="Drop" dropLines="29" dropStyle="combo" dx="16" fmlaLink="Kassenbuch!$S$26" fmlaRange="SaKo23" sel="0" val="0"/>
</file>

<file path=xl/ctrlProps/ctrlProp60.xml><?xml version="1.0" encoding="utf-8"?>
<formControlPr xmlns="http://schemas.microsoft.com/office/spreadsheetml/2009/9/main" objectType="Drop" dropStyle="combo" dx="16" fmlaLink="$R$31" fmlaRange="Gruppen" noThreeD="1" sel="0" val="0"/>
</file>

<file path=xl/ctrlProps/ctrlProp61.xml><?xml version="1.0" encoding="utf-8"?>
<formControlPr xmlns="http://schemas.microsoft.com/office/spreadsheetml/2009/9/main" objectType="Drop" dropStyle="combo" dx="16" fmlaLink="$R$33" fmlaRange="Gruppen" noThreeD="1" sel="0" val="0"/>
</file>

<file path=xl/ctrlProps/ctrlProp62.xml><?xml version="1.0" encoding="utf-8"?>
<formControlPr xmlns="http://schemas.microsoft.com/office/spreadsheetml/2009/9/main" objectType="Drop" dropStyle="combo" dx="16" fmlaLink="$R$34" fmlaRange="Gruppen" noThreeD="1" sel="0" val="0"/>
</file>

<file path=xl/ctrlProps/ctrlProp63.xml><?xml version="1.0" encoding="utf-8"?>
<formControlPr xmlns="http://schemas.microsoft.com/office/spreadsheetml/2009/9/main" objectType="Drop" dropStyle="combo" dx="16" fmlaLink="$R$35" fmlaRange="Gruppen" noThreeD="1" sel="0" val="0"/>
</file>

<file path=xl/ctrlProps/ctrlProp64.xml><?xml version="1.0" encoding="utf-8"?>
<formControlPr xmlns="http://schemas.microsoft.com/office/spreadsheetml/2009/9/main" objectType="Drop" dropStyle="combo" dx="16" fmlaLink="$R$36" fmlaRange="Gruppen" noThreeD="1" sel="0" val="0"/>
</file>

<file path=xl/ctrlProps/ctrlProp65.xml><?xml version="1.0" encoding="utf-8"?>
<formControlPr xmlns="http://schemas.microsoft.com/office/spreadsheetml/2009/9/main" objectType="Drop" dropStyle="combo" dx="16" fmlaLink="$R$37" fmlaRange="Gruppen" noThreeD="1" sel="0" val="0"/>
</file>

<file path=xl/ctrlProps/ctrlProp66.xml><?xml version="1.0" encoding="utf-8"?>
<formControlPr xmlns="http://schemas.microsoft.com/office/spreadsheetml/2009/9/main" objectType="Drop" dropStyle="combo" dx="16" fmlaLink="$R$38" fmlaRange="Gruppen" noThreeD="1" sel="0" val="0"/>
</file>

<file path=xl/ctrlProps/ctrlProp67.xml><?xml version="1.0" encoding="utf-8"?>
<formControlPr xmlns="http://schemas.microsoft.com/office/spreadsheetml/2009/9/main" objectType="Drop" dropStyle="combo" dx="16" fmlaLink="$R$39" fmlaRange="Gruppen" noThreeD="1" sel="0" val="0"/>
</file>

<file path=xl/ctrlProps/ctrlProp68.xml><?xml version="1.0" encoding="utf-8"?>
<formControlPr xmlns="http://schemas.microsoft.com/office/spreadsheetml/2009/9/main" objectType="Drop" dropStyle="combo" dx="16" fmlaLink="$R$40" fmlaRange="Gruppen" noThreeD="1" sel="0" val="0"/>
</file>

<file path=xl/ctrlProps/ctrlProp69.xml><?xml version="1.0" encoding="utf-8"?>
<formControlPr xmlns="http://schemas.microsoft.com/office/spreadsheetml/2009/9/main" objectType="Drop" dropStyle="combo" dx="16" fmlaLink="$R$41" fmlaRange="Gruppen" noThreeD="1" sel="0" val="0"/>
</file>

<file path=xl/ctrlProps/ctrlProp7.xml><?xml version="1.0" encoding="utf-8"?>
<formControlPr xmlns="http://schemas.microsoft.com/office/spreadsheetml/2009/9/main" objectType="Drop" dropLines="29" dropStyle="combo" dx="16" fmlaLink="Kassenbuch!$S$27" fmlaRange="SaKo24" sel="0" val="0"/>
</file>

<file path=xl/ctrlProps/ctrlProp70.xml><?xml version="1.0" encoding="utf-8"?>
<formControlPr xmlns="http://schemas.microsoft.com/office/spreadsheetml/2009/9/main" objectType="Drop" dropStyle="combo" dx="16" fmlaLink="$R$42" fmlaRange="Gruppen" noThreeD="1" sel="0" val="0"/>
</file>

<file path=xl/ctrlProps/ctrlProp71.xml><?xml version="1.0" encoding="utf-8"?>
<formControlPr xmlns="http://schemas.microsoft.com/office/spreadsheetml/2009/9/main" objectType="Drop" dropStyle="combo" dx="16" fmlaLink="$R$43" fmlaRange="Gruppen" noThreeD="1" sel="0" val="0"/>
</file>

<file path=xl/ctrlProps/ctrlProp72.xml><?xml version="1.0" encoding="utf-8"?>
<formControlPr xmlns="http://schemas.microsoft.com/office/spreadsheetml/2009/9/main" objectType="Drop" dropStyle="combo" dx="16" fmlaLink="$R$44" fmlaRange="Gruppen" noThreeD="1" sel="0" val="0"/>
</file>

<file path=xl/ctrlProps/ctrlProp73.xml><?xml version="1.0" encoding="utf-8"?>
<formControlPr xmlns="http://schemas.microsoft.com/office/spreadsheetml/2009/9/main" objectType="Drop" dropStyle="combo" dx="16" fmlaLink="$R$45" fmlaRange="Gruppen" noThreeD="1" sel="0" val="0"/>
</file>

<file path=xl/ctrlProps/ctrlProp74.xml><?xml version="1.0" encoding="utf-8"?>
<formControlPr xmlns="http://schemas.microsoft.com/office/spreadsheetml/2009/9/main" objectType="Drop" dropStyle="combo" dx="16" fmlaLink="$R$46" fmlaRange="Gruppen" noThreeD="1" sel="0" val="0"/>
</file>

<file path=xl/ctrlProps/ctrlProp75.xml><?xml version="1.0" encoding="utf-8"?>
<formControlPr xmlns="http://schemas.microsoft.com/office/spreadsheetml/2009/9/main" objectType="Drop" dropStyle="combo" dx="16" fmlaLink="$R$47" fmlaRange="Gruppen" noThreeD="1" sel="0" val="0"/>
</file>

<file path=xl/ctrlProps/ctrlProp76.xml><?xml version="1.0" encoding="utf-8"?>
<formControlPr xmlns="http://schemas.microsoft.com/office/spreadsheetml/2009/9/main" objectType="Drop" dropStyle="combo" dx="16" fmlaLink="$R$48" fmlaRange="Gruppen" noThreeD="1" sel="0" val="0"/>
</file>

<file path=xl/ctrlProps/ctrlProp77.xml><?xml version="1.0" encoding="utf-8"?>
<formControlPr xmlns="http://schemas.microsoft.com/office/spreadsheetml/2009/9/main" objectType="Drop" dropStyle="combo" dx="16" fmlaLink="$R$49" fmlaRange="Gruppen" noThreeD="1" sel="0" val="0"/>
</file>

<file path=xl/ctrlProps/ctrlProp78.xml><?xml version="1.0" encoding="utf-8"?>
<formControlPr xmlns="http://schemas.microsoft.com/office/spreadsheetml/2009/9/main" objectType="Drop" dropStyle="combo" dx="16" fmlaLink="$R$50" fmlaRange="Gruppen" noThreeD="1" sel="0" val="0"/>
</file>

<file path=xl/ctrlProps/ctrlProp79.xml><?xml version="1.0" encoding="utf-8"?>
<formControlPr xmlns="http://schemas.microsoft.com/office/spreadsheetml/2009/9/main" objectType="Drop" dropStyle="combo" dx="16" fmlaLink="$R$51" fmlaRange="Gruppen" noThreeD="1" sel="0" val="0"/>
</file>

<file path=xl/ctrlProps/ctrlProp8.xml><?xml version="1.0" encoding="utf-8"?>
<formControlPr xmlns="http://schemas.microsoft.com/office/spreadsheetml/2009/9/main" objectType="Drop" dropLines="29" dropStyle="combo" dx="16" fmlaLink="Kassenbuch!$S$28" fmlaRange="SaKo25" sel="0" val="0"/>
</file>

<file path=xl/ctrlProps/ctrlProp80.xml><?xml version="1.0" encoding="utf-8"?>
<formControlPr xmlns="http://schemas.microsoft.com/office/spreadsheetml/2009/9/main" objectType="Drop" dropStyle="combo" dx="16" fmlaLink="$R$52" fmlaRange="Gruppen" noThreeD="1" sel="0" val="0"/>
</file>

<file path=xl/ctrlProps/ctrlProp81.xml><?xml version="1.0" encoding="utf-8"?>
<formControlPr xmlns="http://schemas.microsoft.com/office/spreadsheetml/2009/9/main" objectType="Drop" dropStyle="combo" dx="16" fmlaLink="$R$53" fmlaRange="Gruppen" noThreeD="1" sel="0" val="0"/>
</file>

<file path=xl/ctrlProps/ctrlProp82.xml><?xml version="1.0" encoding="utf-8"?>
<formControlPr xmlns="http://schemas.microsoft.com/office/spreadsheetml/2009/9/main" objectType="Drop" dropStyle="combo" dx="16" fmlaLink="$R$54" fmlaRange="Gruppen" noThreeD="1" sel="0" val="0"/>
</file>

<file path=xl/ctrlProps/ctrlProp83.xml><?xml version="1.0" encoding="utf-8"?>
<formControlPr xmlns="http://schemas.microsoft.com/office/spreadsheetml/2009/9/main" objectType="Drop" dropStyle="combo" dx="16" fmlaLink="$R$55" fmlaRange="Gruppen" noThreeD="1" sel="0" val="0"/>
</file>

<file path=xl/ctrlProps/ctrlProp84.xml><?xml version="1.0" encoding="utf-8"?>
<formControlPr xmlns="http://schemas.microsoft.com/office/spreadsheetml/2009/9/main" objectType="Drop" dropStyle="combo" dx="16" fmlaLink="$R$56" fmlaRange="Gruppen" noThreeD="1" sel="0" val="0"/>
</file>

<file path=xl/ctrlProps/ctrlProp85.xml><?xml version="1.0" encoding="utf-8"?>
<formControlPr xmlns="http://schemas.microsoft.com/office/spreadsheetml/2009/9/main" objectType="Drop" dropStyle="combo" dx="16" fmlaLink="$R$57" fmlaRange="Gruppen" noThreeD="1" sel="0" val="0"/>
</file>

<file path=xl/ctrlProps/ctrlProp86.xml><?xml version="1.0" encoding="utf-8"?>
<formControlPr xmlns="http://schemas.microsoft.com/office/spreadsheetml/2009/9/main" objectType="Drop" dropStyle="combo" dx="16" fmlaLink="$R$58" fmlaRange="Gruppen" noThreeD="1" sel="0" val="0"/>
</file>

<file path=xl/ctrlProps/ctrlProp87.xml><?xml version="1.0" encoding="utf-8"?>
<formControlPr xmlns="http://schemas.microsoft.com/office/spreadsheetml/2009/9/main" objectType="Drop" dropStyle="combo" dx="16" fmlaLink="$R$59" fmlaRange="Gruppen" noThreeD="1" sel="0" val="0"/>
</file>

<file path=xl/ctrlProps/ctrlProp88.xml><?xml version="1.0" encoding="utf-8"?>
<formControlPr xmlns="http://schemas.microsoft.com/office/spreadsheetml/2009/9/main" objectType="Drop" dropStyle="combo" dx="16" fmlaLink="$R$60" fmlaRange="Gruppen" noThreeD="1" sel="0" val="0"/>
</file>

<file path=xl/ctrlProps/ctrlProp89.xml><?xml version="1.0" encoding="utf-8"?>
<formControlPr xmlns="http://schemas.microsoft.com/office/spreadsheetml/2009/9/main" objectType="Drop" dropStyle="combo" dx="16" fmlaLink="$R$61" fmlaRange="Gruppen" noThreeD="1" sel="0" val="0"/>
</file>

<file path=xl/ctrlProps/ctrlProp9.xml><?xml version="1.0" encoding="utf-8"?>
<formControlPr xmlns="http://schemas.microsoft.com/office/spreadsheetml/2009/9/main" objectType="Drop" dropLines="29" dropStyle="combo" dx="16" fmlaLink="Kassenbuch!$S$29" fmlaRange="SaKo26" sel="0" val="0"/>
</file>

<file path=xl/ctrlProps/ctrlProp90.xml><?xml version="1.0" encoding="utf-8"?>
<formControlPr xmlns="http://schemas.microsoft.com/office/spreadsheetml/2009/9/main" objectType="Drop" dropStyle="combo" dx="16" fmlaLink="$R$62" fmlaRange="Gruppen" noThreeD="1" sel="0" val="0"/>
</file>

<file path=xl/ctrlProps/ctrlProp91.xml><?xml version="1.0" encoding="utf-8"?>
<formControlPr xmlns="http://schemas.microsoft.com/office/spreadsheetml/2009/9/main" objectType="Drop" dropStyle="combo" dx="16" fmlaLink="$R$63" fmlaRange="Gruppen" noThreeD="1" sel="0" val="0"/>
</file>

<file path=xl/ctrlProps/ctrlProp92.xml><?xml version="1.0" encoding="utf-8"?>
<formControlPr xmlns="http://schemas.microsoft.com/office/spreadsheetml/2009/9/main" objectType="Drop" dropStyle="combo" dx="16" fmlaLink="$R$64" fmlaRange="Gruppen" noThreeD="1" sel="0" val="0"/>
</file>

<file path=xl/ctrlProps/ctrlProp93.xml><?xml version="1.0" encoding="utf-8"?>
<formControlPr xmlns="http://schemas.microsoft.com/office/spreadsheetml/2009/9/main" objectType="Drop" dropStyle="combo" dx="16" fmlaLink="$R$65" fmlaRange="Gruppen" noThreeD="1" sel="0" val="0"/>
</file>

<file path=xl/ctrlProps/ctrlProp94.xml><?xml version="1.0" encoding="utf-8"?>
<formControlPr xmlns="http://schemas.microsoft.com/office/spreadsheetml/2009/9/main" objectType="Drop" dropStyle="combo" dx="16" fmlaLink="$R$66" fmlaRange="Gruppen" noThreeD="1" sel="0" val="0"/>
</file>

<file path=xl/ctrlProps/ctrlProp95.xml><?xml version="1.0" encoding="utf-8"?>
<formControlPr xmlns="http://schemas.microsoft.com/office/spreadsheetml/2009/9/main" objectType="Drop" dropStyle="combo" dx="16" fmlaLink="$R$68" fmlaRange="Gruppen" noThreeD="1" sel="0" val="0"/>
</file>

<file path=xl/ctrlProps/ctrlProp96.xml><?xml version="1.0" encoding="utf-8"?>
<formControlPr xmlns="http://schemas.microsoft.com/office/spreadsheetml/2009/9/main" objectType="Drop" dropLines="10" dropStyle="combo" dx="16" fmlaLink="$S$20" fmlaRange="SaKo17" sel="0" val="20"/>
</file>

<file path=xl/ctrlProps/ctrlProp97.xml><?xml version="1.0" encoding="utf-8"?>
<formControlPr xmlns="http://schemas.microsoft.com/office/spreadsheetml/2009/9/main" objectType="Drop" dropStyle="combo" dx="16" fmlaLink="$R$67" fmlaRange="Gruppen" noThreeD="1" sel="0" val="0"/>
</file>

<file path=xl/ctrlProps/ctrlProp98.xml><?xml version="1.0" encoding="utf-8"?>
<formControlPr xmlns="http://schemas.microsoft.com/office/spreadsheetml/2009/9/main" objectType="Drop" dropStyle="combo" dx="16" fmlaLink="$R$32" fmlaRange="Gruppen"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1743075</xdr:colOff>
      <xdr:row>0</xdr:row>
      <xdr:rowOff>0</xdr:rowOff>
    </xdr:from>
    <xdr:to>
      <xdr:col>6</xdr:col>
      <xdr:colOff>161925</xdr:colOff>
      <xdr:row>5</xdr:row>
      <xdr:rowOff>77932</xdr:rowOff>
    </xdr:to>
    <xdr:pic>
      <xdr:nvPicPr>
        <xdr:cNvPr id="5" name="Grafik 4" descr="facett_hks37_200x200.png"/>
        <xdr:cNvPicPr>
          <a:picLocks noChangeAspect="1"/>
        </xdr:cNvPicPr>
      </xdr:nvPicPr>
      <xdr:blipFill>
        <a:blip xmlns:r="http://schemas.openxmlformats.org/officeDocument/2006/relationships" r:embed="rId1" cstate="print">
          <a:biLevel thresh="50000"/>
        </a:blip>
        <a:stretch>
          <a:fillRect/>
        </a:stretch>
      </xdr:blipFill>
      <xdr:spPr>
        <a:xfrm>
          <a:off x="3362325" y="0"/>
          <a:ext cx="990600" cy="100185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12</xdr:col>
          <xdr:colOff>733425</xdr:colOff>
          <xdr:row>20</xdr:row>
          <xdr:rowOff>19050</xdr:rowOff>
        </xdr:from>
        <xdr:to>
          <xdr:col>29</xdr:col>
          <xdr:colOff>190500</xdr:colOff>
          <xdr:row>20</xdr:row>
          <xdr:rowOff>257175</xdr:rowOff>
        </xdr:to>
        <xdr:sp macro="" textlink="">
          <xdr:nvSpPr>
            <xdr:cNvPr id="5133" name="Drop Down 13" hidden="1">
              <a:extLst>
                <a:ext uri="{63B3BB69-23CF-44E3-9099-C40C66FF867C}">
                  <a14:compatExt spid="_x0000_s5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21</xdr:row>
          <xdr:rowOff>47625</xdr:rowOff>
        </xdr:from>
        <xdr:to>
          <xdr:col>29</xdr:col>
          <xdr:colOff>190500</xdr:colOff>
          <xdr:row>21</xdr:row>
          <xdr:rowOff>276225</xdr:rowOff>
        </xdr:to>
        <xdr:sp macro="" textlink="">
          <xdr:nvSpPr>
            <xdr:cNvPr id="5134" name="Drop Down 14" hidden="1">
              <a:extLst>
                <a:ext uri="{63B3BB69-23CF-44E3-9099-C40C66FF867C}">
                  <a14:compatExt spid="_x0000_s5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22</xdr:row>
          <xdr:rowOff>47625</xdr:rowOff>
        </xdr:from>
        <xdr:to>
          <xdr:col>29</xdr:col>
          <xdr:colOff>190500</xdr:colOff>
          <xdr:row>22</xdr:row>
          <xdr:rowOff>276225</xdr:rowOff>
        </xdr:to>
        <xdr:sp macro="" textlink="">
          <xdr:nvSpPr>
            <xdr:cNvPr id="5135" name="Drop Down 15" hidden="1">
              <a:extLst>
                <a:ext uri="{63B3BB69-23CF-44E3-9099-C40C66FF867C}">
                  <a14:compatExt spid="_x0000_s51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23</xdr:row>
          <xdr:rowOff>38100</xdr:rowOff>
        </xdr:from>
        <xdr:to>
          <xdr:col>29</xdr:col>
          <xdr:colOff>190500</xdr:colOff>
          <xdr:row>23</xdr:row>
          <xdr:rowOff>266700</xdr:rowOff>
        </xdr:to>
        <xdr:sp macro="" textlink="">
          <xdr:nvSpPr>
            <xdr:cNvPr id="5136" name="Drop Down 16" hidden="1">
              <a:extLst>
                <a:ext uri="{63B3BB69-23CF-44E3-9099-C40C66FF867C}">
                  <a14:compatExt spid="_x0000_s51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742950</xdr:colOff>
          <xdr:row>24</xdr:row>
          <xdr:rowOff>28575</xdr:rowOff>
        </xdr:from>
        <xdr:to>
          <xdr:col>29</xdr:col>
          <xdr:colOff>200025</xdr:colOff>
          <xdr:row>24</xdr:row>
          <xdr:rowOff>257175</xdr:rowOff>
        </xdr:to>
        <xdr:sp macro="" textlink="">
          <xdr:nvSpPr>
            <xdr:cNvPr id="5137" name="Drop Down 17" hidden="1">
              <a:extLst>
                <a:ext uri="{63B3BB69-23CF-44E3-9099-C40C66FF867C}">
                  <a14:compatExt spid="_x0000_s5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742950</xdr:colOff>
          <xdr:row>25</xdr:row>
          <xdr:rowOff>28575</xdr:rowOff>
        </xdr:from>
        <xdr:to>
          <xdr:col>29</xdr:col>
          <xdr:colOff>200025</xdr:colOff>
          <xdr:row>25</xdr:row>
          <xdr:rowOff>257175</xdr:rowOff>
        </xdr:to>
        <xdr:sp macro="" textlink="">
          <xdr:nvSpPr>
            <xdr:cNvPr id="5138" name="Drop Down 18" hidden="1">
              <a:extLst>
                <a:ext uri="{63B3BB69-23CF-44E3-9099-C40C66FF867C}">
                  <a14:compatExt spid="_x0000_s51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742950</xdr:colOff>
          <xdr:row>26</xdr:row>
          <xdr:rowOff>38100</xdr:rowOff>
        </xdr:from>
        <xdr:to>
          <xdr:col>29</xdr:col>
          <xdr:colOff>200025</xdr:colOff>
          <xdr:row>26</xdr:row>
          <xdr:rowOff>266700</xdr:rowOff>
        </xdr:to>
        <xdr:sp macro="" textlink="">
          <xdr:nvSpPr>
            <xdr:cNvPr id="5139" name="Drop Down 19" hidden="1">
              <a:extLst>
                <a:ext uri="{63B3BB69-23CF-44E3-9099-C40C66FF867C}">
                  <a14:compatExt spid="_x0000_s5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27</xdr:row>
          <xdr:rowOff>38100</xdr:rowOff>
        </xdr:from>
        <xdr:to>
          <xdr:col>29</xdr:col>
          <xdr:colOff>190500</xdr:colOff>
          <xdr:row>27</xdr:row>
          <xdr:rowOff>266700</xdr:rowOff>
        </xdr:to>
        <xdr:sp macro="" textlink="">
          <xdr:nvSpPr>
            <xdr:cNvPr id="5140" name="Drop Down 20" hidden="1">
              <a:extLst>
                <a:ext uri="{63B3BB69-23CF-44E3-9099-C40C66FF867C}">
                  <a14:compatExt spid="_x0000_s51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28</xdr:row>
          <xdr:rowOff>38100</xdr:rowOff>
        </xdr:from>
        <xdr:to>
          <xdr:col>29</xdr:col>
          <xdr:colOff>190500</xdr:colOff>
          <xdr:row>28</xdr:row>
          <xdr:rowOff>266700</xdr:rowOff>
        </xdr:to>
        <xdr:sp macro="" textlink="">
          <xdr:nvSpPr>
            <xdr:cNvPr id="5141" name="Drop Down 21" hidden="1">
              <a:extLst>
                <a:ext uri="{63B3BB69-23CF-44E3-9099-C40C66FF867C}">
                  <a14:compatExt spid="_x0000_s5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29</xdr:row>
          <xdr:rowOff>38100</xdr:rowOff>
        </xdr:from>
        <xdr:to>
          <xdr:col>29</xdr:col>
          <xdr:colOff>190500</xdr:colOff>
          <xdr:row>29</xdr:row>
          <xdr:rowOff>266700</xdr:rowOff>
        </xdr:to>
        <xdr:sp macro="" textlink="">
          <xdr:nvSpPr>
            <xdr:cNvPr id="5142" name="Drop Down 22" hidden="1">
              <a:extLst>
                <a:ext uri="{63B3BB69-23CF-44E3-9099-C40C66FF867C}">
                  <a14:compatExt spid="_x0000_s51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30</xdr:row>
          <xdr:rowOff>47625</xdr:rowOff>
        </xdr:from>
        <xdr:to>
          <xdr:col>29</xdr:col>
          <xdr:colOff>190500</xdr:colOff>
          <xdr:row>30</xdr:row>
          <xdr:rowOff>276225</xdr:rowOff>
        </xdr:to>
        <xdr:sp macro="" textlink="">
          <xdr:nvSpPr>
            <xdr:cNvPr id="5143" name="Drop Down 23" hidden="1">
              <a:extLst>
                <a:ext uri="{63B3BB69-23CF-44E3-9099-C40C66FF867C}">
                  <a14:compatExt spid="_x0000_s51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742950</xdr:colOff>
          <xdr:row>31</xdr:row>
          <xdr:rowOff>38100</xdr:rowOff>
        </xdr:from>
        <xdr:to>
          <xdr:col>29</xdr:col>
          <xdr:colOff>200025</xdr:colOff>
          <xdr:row>31</xdr:row>
          <xdr:rowOff>266700</xdr:rowOff>
        </xdr:to>
        <xdr:sp macro="" textlink="">
          <xdr:nvSpPr>
            <xdr:cNvPr id="5144" name="Drop Down 24" hidden="1">
              <a:extLst>
                <a:ext uri="{63B3BB69-23CF-44E3-9099-C40C66FF867C}">
                  <a14:compatExt spid="_x0000_s5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32</xdr:row>
          <xdr:rowOff>38100</xdr:rowOff>
        </xdr:from>
        <xdr:to>
          <xdr:col>29</xdr:col>
          <xdr:colOff>190500</xdr:colOff>
          <xdr:row>32</xdr:row>
          <xdr:rowOff>266700</xdr:rowOff>
        </xdr:to>
        <xdr:sp macro="" textlink="">
          <xdr:nvSpPr>
            <xdr:cNvPr id="5145" name="Drop Down 25" hidden="1">
              <a:extLst>
                <a:ext uri="{63B3BB69-23CF-44E3-9099-C40C66FF867C}">
                  <a14:compatExt spid="_x0000_s5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33</xdr:row>
          <xdr:rowOff>47625</xdr:rowOff>
        </xdr:from>
        <xdr:to>
          <xdr:col>29</xdr:col>
          <xdr:colOff>190500</xdr:colOff>
          <xdr:row>33</xdr:row>
          <xdr:rowOff>276225</xdr:rowOff>
        </xdr:to>
        <xdr:sp macro="" textlink="">
          <xdr:nvSpPr>
            <xdr:cNvPr id="5146" name="Drop Down 26" hidden="1">
              <a:extLst>
                <a:ext uri="{63B3BB69-23CF-44E3-9099-C40C66FF867C}">
                  <a14:compatExt spid="_x0000_s5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34</xdr:row>
          <xdr:rowOff>38100</xdr:rowOff>
        </xdr:from>
        <xdr:to>
          <xdr:col>29</xdr:col>
          <xdr:colOff>190500</xdr:colOff>
          <xdr:row>34</xdr:row>
          <xdr:rowOff>266700</xdr:rowOff>
        </xdr:to>
        <xdr:sp macro="" textlink="">
          <xdr:nvSpPr>
            <xdr:cNvPr id="5147" name="Drop Down 27" hidden="1">
              <a:extLst>
                <a:ext uri="{63B3BB69-23CF-44E3-9099-C40C66FF867C}">
                  <a14:compatExt spid="_x0000_s5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35</xdr:row>
          <xdr:rowOff>38100</xdr:rowOff>
        </xdr:from>
        <xdr:to>
          <xdr:col>29</xdr:col>
          <xdr:colOff>190500</xdr:colOff>
          <xdr:row>35</xdr:row>
          <xdr:rowOff>266700</xdr:rowOff>
        </xdr:to>
        <xdr:sp macro="" textlink="">
          <xdr:nvSpPr>
            <xdr:cNvPr id="5148" name="Drop Down 28" hidden="1">
              <a:extLst>
                <a:ext uri="{63B3BB69-23CF-44E3-9099-C40C66FF867C}">
                  <a14:compatExt spid="_x0000_s5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36</xdr:row>
          <xdr:rowOff>38100</xdr:rowOff>
        </xdr:from>
        <xdr:to>
          <xdr:col>29</xdr:col>
          <xdr:colOff>190500</xdr:colOff>
          <xdr:row>36</xdr:row>
          <xdr:rowOff>266700</xdr:rowOff>
        </xdr:to>
        <xdr:sp macro="" textlink="">
          <xdr:nvSpPr>
            <xdr:cNvPr id="5149" name="Drop Down 29" hidden="1">
              <a:extLst>
                <a:ext uri="{63B3BB69-23CF-44E3-9099-C40C66FF867C}">
                  <a14:compatExt spid="_x0000_s5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37</xdr:row>
          <xdr:rowOff>47625</xdr:rowOff>
        </xdr:from>
        <xdr:to>
          <xdr:col>29</xdr:col>
          <xdr:colOff>190500</xdr:colOff>
          <xdr:row>37</xdr:row>
          <xdr:rowOff>276225</xdr:rowOff>
        </xdr:to>
        <xdr:sp macro="" textlink="">
          <xdr:nvSpPr>
            <xdr:cNvPr id="5150" name="Drop Down 30" hidden="1">
              <a:extLst>
                <a:ext uri="{63B3BB69-23CF-44E3-9099-C40C66FF867C}">
                  <a14:compatExt spid="_x0000_s5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38</xdr:row>
          <xdr:rowOff>28575</xdr:rowOff>
        </xdr:from>
        <xdr:to>
          <xdr:col>29</xdr:col>
          <xdr:colOff>190500</xdr:colOff>
          <xdr:row>38</xdr:row>
          <xdr:rowOff>257175</xdr:rowOff>
        </xdr:to>
        <xdr:sp macro="" textlink="">
          <xdr:nvSpPr>
            <xdr:cNvPr id="5151" name="Drop Down 31" hidden="1">
              <a:extLst>
                <a:ext uri="{63B3BB69-23CF-44E3-9099-C40C66FF867C}">
                  <a14:compatExt spid="_x0000_s5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39</xdr:row>
          <xdr:rowOff>28575</xdr:rowOff>
        </xdr:from>
        <xdr:to>
          <xdr:col>29</xdr:col>
          <xdr:colOff>190500</xdr:colOff>
          <xdr:row>39</xdr:row>
          <xdr:rowOff>257175</xdr:rowOff>
        </xdr:to>
        <xdr:sp macro="" textlink="">
          <xdr:nvSpPr>
            <xdr:cNvPr id="5152" name="Drop Down 32" hidden="1">
              <a:extLst>
                <a:ext uri="{63B3BB69-23CF-44E3-9099-C40C66FF867C}">
                  <a14:compatExt spid="_x0000_s5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40</xdr:row>
          <xdr:rowOff>28575</xdr:rowOff>
        </xdr:from>
        <xdr:to>
          <xdr:col>29</xdr:col>
          <xdr:colOff>190500</xdr:colOff>
          <xdr:row>40</xdr:row>
          <xdr:rowOff>257175</xdr:rowOff>
        </xdr:to>
        <xdr:sp macro="" textlink="">
          <xdr:nvSpPr>
            <xdr:cNvPr id="5153" name="Drop Down 33" hidden="1">
              <a:extLst>
                <a:ext uri="{63B3BB69-23CF-44E3-9099-C40C66FF867C}">
                  <a14:compatExt spid="_x0000_s51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41</xdr:row>
          <xdr:rowOff>28575</xdr:rowOff>
        </xdr:from>
        <xdr:to>
          <xdr:col>29</xdr:col>
          <xdr:colOff>190500</xdr:colOff>
          <xdr:row>41</xdr:row>
          <xdr:rowOff>257175</xdr:rowOff>
        </xdr:to>
        <xdr:sp macro="" textlink="">
          <xdr:nvSpPr>
            <xdr:cNvPr id="5154" name="Drop Down 34" hidden="1">
              <a:extLst>
                <a:ext uri="{63B3BB69-23CF-44E3-9099-C40C66FF867C}">
                  <a14:compatExt spid="_x0000_s51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42</xdr:row>
          <xdr:rowOff>47625</xdr:rowOff>
        </xdr:from>
        <xdr:to>
          <xdr:col>29</xdr:col>
          <xdr:colOff>190500</xdr:colOff>
          <xdr:row>42</xdr:row>
          <xdr:rowOff>276225</xdr:rowOff>
        </xdr:to>
        <xdr:sp macro="" textlink="">
          <xdr:nvSpPr>
            <xdr:cNvPr id="5156" name="Drop Down 36" hidden="1">
              <a:extLst>
                <a:ext uri="{63B3BB69-23CF-44E3-9099-C40C66FF867C}">
                  <a14:compatExt spid="_x0000_s51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43</xdr:row>
          <xdr:rowOff>38100</xdr:rowOff>
        </xdr:from>
        <xdr:to>
          <xdr:col>29</xdr:col>
          <xdr:colOff>190500</xdr:colOff>
          <xdr:row>43</xdr:row>
          <xdr:rowOff>266700</xdr:rowOff>
        </xdr:to>
        <xdr:sp macro="" textlink="">
          <xdr:nvSpPr>
            <xdr:cNvPr id="5157" name="Drop Down 37" hidden="1">
              <a:extLst>
                <a:ext uri="{63B3BB69-23CF-44E3-9099-C40C66FF867C}">
                  <a14:compatExt spid="_x0000_s5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44</xdr:row>
          <xdr:rowOff>47625</xdr:rowOff>
        </xdr:from>
        <xdr:to>
          <xdr:col>29</xdr:col>
          <xdr:colOff>190500</xdr:colOff>
          <xdr:row>44</xdr:row>
          <xdr:rowOff>276225</xdr:rowOff>
        </xdr:to>
        <xdr:sp macro="" textlink="">
          <xdr:nvSpPr>
            <xdr:cNvPr id="5158" name="Drop Down 38" hidden="1">
              <a:extLst>
                <a:ext uri="{63B3BB69-23CF-44E3-9099-C40C66FF867C}">
                  <a14:compatExt spid="_x0000_s5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45</xdr:row>
          <xdr:rowOff>38100</xdr:rowOff>
        </xdr:from>
        <xdr:to>
          <xdr:col>29</xdr:col>
          <xdr:colOff>190500</xdr:colOff>
          <xdr:row>45</xdr:row>
          <xdr:rowOff>266700</xdr:rowOff>
        </xdr:to>
        <xdr:sp macro="" textlink="">
          <xdr:nvSpPr>
            <xdr:cNvPr id="5159" name="Drop Down 39" hidden="1">
              <a:extLst>
                <a:ext uri="{63B3BB69-23CF-44E3-9099-C40C66FF867C}">
                  <a14:compatExt spid="_x0000_s5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46</xdr:row>
          <xdr:rowOff>28575</xdr:rowOff>
        </xdr:from>
        <xdr:to>
          <xdr:col>29</xdr:col>
          <xdr:colOff>190500</xdr:colOff>
          <xdr:row>46</xdr:row>
          <xdr:rowOff>257175</xdr:rowOff>
        </xdr:to>
        <xdr:sp macro="" textlink="">
          <xdr:nvSpPr>
            <xdr:cNvPr id="5160" name="Drop Down 40" hidden="1">
              <a:extLst>
                <a:ext uri="{63B3BB69-23CF-44E3-9099-C40C66FF867C}">
                  <a14:compatExt spid="_x0000_s5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47</xdr:row>
          <xdr:rowOff>19050</xdr:rowOff>
        </xdr:from>
        <xdr:to>
          <xdr:col>29</xdr:col>
          <xdr:colOff>190500</xdr:colOff>
          <xdr:row>47</xdr:row>
          <xdr:rowOff>247650</xdr:rowOff>
        </xdr:to>
        <xdr:sp macro="" textlink="">
          <xdr:nvSpPr>
            <xdr:cNvPr id="5161" name="Drop Down 41" hidden="1">
              <a:extLst>
                <a:ext uri="{63B3BB69-23CF-44E3-9099-C40C66FF867C}">
                  <a14:compatExt spid="_x0000_s5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48</xdr:row>
          <xdr:rowOff>9525</xdr:rowOff>
        </xdr:from>
        <xdr:to>
          <xdr:col>29</xdr:col>
          <xdr:colOff>190500</xdr:colOff>
          <xdr:row>48</xdr:row>
          <xdr:rowOff>238125</xdr:rowOff>
        </xdr:to>
        <xdr:sp macro="" textlink="">
          <xdr:nvSpPr>
            <xdr:cNvPr id="5162" name="Drop Down 42" hidden="1">
              <a:extLst>
                <a:ext uri="{63B3BB69-23CF-44E3-9099-C40C66FF867C}">
                  <a14:compatExt spid="_x0000_s5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49</xdr:row>
          <xdr:rowOff>19050</xdr:rowOff>
        </xdr:from>
        <xdr:to>
          <xdr:col>29</xdr:col>
          <xdr:colOff>190500</xdr:colOff>
          <xdr:row>49</xdr:row>
          <xdr:rowOff>247650</xdr:rowOff>
        </xdr:to>
        <xdr:sp macro="" textlink="">
          <xdr:nvSpPr>
            <xdr:cNvPr id="5163" name="Drop Down 43" hidden="1">
              <a:extLst>
                <a:ext uri="{63B3BB69-23CF-44E3-9099-C40C66FF867C}">
                  <a14:compatExt spid="_x0000_s51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50</xdr:row>
          <xdr:rowOff>9525</xdr:rowOff>
        </xdr:from>
        <xdr:to>
          <xdr:col>29</xdr:col>
          <xdr:colOff>190500</xdr:colOff>
          <xdr:row>50</xdr:row>
          <xdr:rowOff>238125</xdr:rowOff>
        </xdr:to>
        <xdr:sp macro="" textlink="">
          <xdr:nvSpPr>
            <xdr:cNvPr id="5164" name="Drop Down 44" hidden="1">
              <a:extLst>
                <a:ext uri="{63B3BB69-23CF-44E3-9099-C40C66FF867C}">
                  <a14:compatExt spid="_x0000_s51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51</xdr:row>
          <xdr:rowOff>28575</xdr:rowOff>
        </xdr:from>
        <xdr:to>
          <xdr:col>29</xdr:col>
          <xdr:colOff>190500</xdr:colOff>
          <xdr:row>51</xdr:row>
          <xdr:rowOff>257175</xdr:rowOff>
        </xdr:to>
        <xdr:sp macro="" textlink="">
          <xdr:nvSpPr>
            <xdr:cNvPr id="5165" name="Drop Down 45" hidden="1">
              <a:extLst>
                <a:ext uri="{63B3BB69-23CF-44E3-9099-C40C66FF867C}">
                  <a14:compatExt spid="_x0000_s51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52</xdr:row>
          <xdr:rowOff>19050</xdr:rowOff>
        </xdr:from>
        <xdr:to>
          <xdr:col>29</xdr:col>
          <xdr:colOff>190500</xdr:colOff>
          <xdr:row>52</xdr:row>
          <xdr:rowOff>247650</xdr:rowOff>
        </xdr:to>
        <xdr:sp macro="" textlink="">
          <xdr:nvSpPr>
            <xdr:cNvPr id="5166" name="Drop Down 46" hidden="1">
              <a:extLst>
                <a:ext uri="{63B3BB69-23CF-44E3-9099-C40C66FF867C}">
                  <a14:compatExt spid="_x0000_s51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53</xdr:row>
          <xdr:rowOff>38100</xdr:rowOff>
        </xdr:from>
        <xdr:to>
          <xdr:col>29</xdr:col>
          <xdr:colOff>190500</xdr:colOff>
          <xdr:row>53</xdr:row>
          <xdr:rowOff>266700</xdr:rowOff>
        </xdr:to>
        <xdr:sp macro="" textlink="">
          <xdr:nvSpPr>
            <xdr:cNvPr id="5167" name="Drop Down 47" hidden="1">
              <a:extLst>
                <a:ext uri="{63B3BB69-23CF-44E3-9099-C40C66FF867C}">
                  <a14:compatExt spid="_x0000_s51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54</xdr:row>
          <xdr:rowOff>28575</xdr:rowOff>
        </xdr:from>
        <xdr:to>
          <xdr:col>29</xdr:col>
          <xdr:colOff>190500</xdr:colOff>
          <xdr:row>54</xdr:row>
          <xdr:rowOff>257175</xdr:rowOff>
        </xdr:to>
        <xdr:sp macro="" textlink="">
          <xdr:nvSpPr>
            <xdr:cNvPr id="5168" name="Drop Down 48" hidden="1">
              <a:extLst>
                <a:ext uri="{63B3BB69-23CF-44E3-9099-C40C66FF867C}">
                  <a14:compatExt spid="_x0000_s51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55</xdr:row>
          <xdr:rowOff>28575</xdr:rowOff>
        </xdr:from>
        <xdr:to>
          <xdr:col>29</xdr:col>
          <xdr:colOff>190500</xdr:colOff>
          <xdr:row>55</xdr:row>
          <xdr:rowOff>257175</xdr:rowOff>
        </xdr:to>
        <xdr:sp macro="" textlink="">
          <xdr:nvSpPr>
            <xdr:cNvPr id="5169" name="Drop Down 49" hidden="1">
              <a:extLst>
                <a:ext uri="{63B3BB69-23CF-44E3-9099-C40C66FF867C}">
                  <a14:compatExt spid="_x0000_s5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56</xdr:row>
          <xdr:rowOff>28575</xdr:rowOff>
        </xdr:from>
        <xdr:to>
          <xdr:col>29</xdr:col>
          <xdr:colOff>190500</xdr:colOff>
          <xdr:row>56</xdr:row>
          <xdr:rowOff>257175</xdr:rowOff>
        </xdr:to>
        <xdr:sp macro="" textlink="">
          <xdr:nvSpPr>
            <xdr:cNvPr id="5170" name="Drop Down 50" hidden="1">
              <a:extLst>
                <a:ext uri="{63B3BB69-23CF-44E3-9099-C40C66FF867C}">
                  <a14:compatExt spid="_x0000_s51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57</xdr:row>
          <xdr:rowOff>19050</xdr:rowOff>
        </xdr:from>
        <xdr:to>
          <xdr:col>29</xdr:col>
          <xdr:colOff>190500</xdr:colOff>
          <xdr:row>57</xdr:row>
          <xdr:rowOff>247650</xdr:rowOff>
        </xdr:to>
        <xdr:sp macro="" textlink="">
          <xdr:nvSpPr>
            <xdr:cNvPr id="5171" name="Drop Down 51" hidden="1">
              <a:extLst>
                <a:ext uri="{63B3BB69-23CF-44E3-9099-C40C66FF867C}">
                  <a14:compatExt spid="_x0000_s5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723900</xdr:colOff>
          <xdr:row>58</xdr:row>
          <xdr:rowOff>19050</xdr:rowOff>
        </xdr:from>
        <xdr:to>
          <xdr:col>29</xdr:col>
          <xdr:colOff>180975</xdr:colOff>
          <xdr:row>58</xdr:row>
          <xdr:rowOff>247650</xdr:rowOff>
        </xdr:to>
        <xdr:sp macro="" textlink="">
          <xdr:nvSpPr>
            <xdr:cNvPr id="5172" name="Drop Down 52" hidden="1">
              <a:extLst>
                <a:ext uri="{63B3BB69-23CF-44E3-9099-C40C66FF867C}">
                  <a14:compatExt spid="_x0000_s51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59</xdr:row>
          <xdr:rowOff>19050</xdr:rowOff>
        </xdr:from>
        <xdr:to>
          <xdr:col>29</xdr:col>
          <xdr:colOff>190500</xdr:colOff>
          <xdr:row>59</xdr:row>
          <xdr:rowOff>247650</xdr:rowOff>
        </xdr:to>
        <xdr:sp macro="" textlink="">
          <xdr:nvSpPr>
            <xdr:cNvPr id="5173" name="Drop Down 53" hidden="1">
              <a:extLst>
                <a:ext uri="{63B3BB69-23CF-44E3-9099-C40C66FF867C}">
                  <a14:compatExt spid="_x0000_s51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60</xdr:row>
          <xdr:rowOff>28575</xdr:rowOff>
        </xdr:from>
        <xdr:to>
          <xdr:col>29</xdr:col>
          <xdr:colOff>190500</xdr:colOff>
          <xdr:row>60</xdr:row>
          <xdr:rowOff>257175</xdr:rowOff>
        </xdr:to>
        <xdr:sp macro="" textlink="">
          <xdr:nvSpPr>
            <xdr:cNvPr id="5174" name="Drop Down 54" hidden="1">
              <a:extLst>
                <a:ext uri="{63B3BB69-23CF-44E3-9099-C40C66FF867C}">
                  <a14:compatExt spid="_x0000_s51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61</xdr:row>
          <xdr:rowOff>28575</xdr:rowOff>
        </xdr:from>
        <xdr:to>
          <xdr:col>29</xdr:col>
          <xdr:colOff>190500</xdr:colOff>
          <xdr:row>61</xdr:row>
          <xdr:rowOff>257175</xdr:rowOff>
        </xdr:to>
        <xdr:sp macro="" textlink="">
          <xdr:nvSpPr>
            <xdr:cNvPr id="5175" name="Drop Down 55" hidden="1">
              <a:extLst>
                <a:ext uri="{63B3BB69-23CF-44E3-9099-C40C66FF867C}">
                  <a14:compatExt spid="_x0000_s51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62</xdr:row>
          <xdr:rowOff>28575</xdr:rowOff>
        </xdr:from>
        <xdr:to>
          <xdr:col>29</xdr:col>
          <xdr:colOff>190500</xdr:colOff>
          <xdr:row>62</xdr:row>
          <xdr:rowOff>257175</xdr:rowOff>
        </xdr:to>
        <xdr:sp macro="" textlink="">
          <xdr:nvSpPr>
            <xdr:cNvPr id="5176" name="Drop Down 56" hidden="1">
              <a:extLst>
                <a:ext uri="{63B3BB69-23CF-44E3-9099-C40C66FF867C}">
                  <a14:compatExt spid="_x0000_s51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63</xdr:row>
          <xdr:rowOff>28575</xdr:rowOff>
        </xdr:from>
        <xdr:to>
          <xdr:col>29</xdr:col>
          <xdr:colOff>190500</xdr:colOff>
          <xdr:row>63</xdr:row>
          <xdr:rowOff>257175</xdr:rowOff>
        </xdr:to>
        <xdr:sp macro="" textlink="">
          <xdr:nvSpPr>
            <xdr:cNvPr id="5177" name="Drop Down 57" hidden="1">
              <a:extLst>
                <a:ext uri="{63B3BB69-23CF-44E3-9099-C40C66FF867C}">
                  <a14:compatExt spid="_x0000_s51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64</xdr:row>
          <xdr:rowOff>28575</xdr:rowOff>
        </xdr:from>
        <xdr:to>
          <xdr:col>29</xdr:col>
          <xdr:colOff>190500</xdr:colOff>
          <xdr:row>64</xdr:row>
          <xdr:rowOff>257175</xdr:rowOff>
        </xdr:to>
        <xdr:sp macro="" textlink="">
          <xdr:nvSpPr>
            <xdr:cNvPr id="5178" name="Drop Down 58" hidden="1">
              <a:extLst>
                <a:ext uri="{63B3BB69-23CF-44E3-9099-C40C66FF867C}">
                  <a14:compatExt spid="_x0000_s51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65</xdr:row>
          <xdr:rowOff>38100</xdr:rowOff>
        </xdr:from>
        <xdr:to>
          <xdr:col>29</xdr:col>
          <xdr:colOff>190500</xdr:colOff>
          <xdr:row>65</xdr:row>
          <xdr:rowOff>266700</xdr:rowOff>
        </xdr:to>
        <xdr:sp macro="" textlink="">
          <xdr:nvSpPr>
            <xdr:cNvPr id="5179" name="Drop Down 59" hidden="1">
              <a:extLst>
                <a:ext uri="{63B3BB69-23CF-44E3-9099-C40C66FF867C}">
                  <a14:compatExt spid="_x0000_s51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742950</xdr:colOff>
          <xdr:row>66</xdr:row>
          <xdr:rowOff>38100</xdr:rowOff>
        </xdr:from>
        <xdr:to>
          <xdr:col>29</xdr:col>
          <xdr:colOff>200025</xdr:colOff>
          <xdr:row>66</xdr:row>
          <xdr:rowOff>266700</xdr:rowOff>
        </xdr:to>
        <xdr:sp macro="" textlink="">
          <xdr:nvSpPr>
            <xdr:cNvPr id="5180" name="Drop Down 60" hidden="1">
              <a:extLst>
                <a:ext uri="{63B3BB69-23CF-44E3-9099-C40C66FF867C}">
                  <a14:compatExt spid="_x0000_s51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742950</xdr:colOff>
          <xdr:row>67</xdr:row>
          <xdr:rowOff>28575</xdr:rowOff>
        </xdr:from>
        <xdr:to>
          <xdr:col>29</xdr:col>
          <xdr:colOff>200025</xdr:colOff>
          <xdr:row>67</xdr:row>
          <xdr:rowOff>257175</xdr:rowOff>
        </xdr:to>
        <xdr:sp macro="" textlink="">
          <xdr:nvSpPr>
            <xdr:cNvPr id="5181" name="Drop Down 61" hidden="1">
              <a:extLst>
                <a:ext uri="{63B3BB69-23CF-44E3-9099-C40C66FF867C}">
                  <a14:compatExt spid="_x0000_s51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19</xdr:row>
          <xdr:rowOff>19050</xdr:rowOff>
        </xdr:from>
        <xdr:to>
          <xdr:col>12</xdr:col>
          <xdr:colOff>666750</xdr:colOff>
          <xdr:row>19</xdr:row>
          <xdr:rowOff>257175</xdr:rowOff>
        </xdr:to>
        <xdr:sp macro="" textlink="">
          <xdr:nvSpPr>
            <xdr:cNvPr id="5182" name="Drop Down 62" hidden="1">
              <a:extLst>
                <a:ext uri="{63B3BB69-23CF-44E3-9099-C40C66FF867C}">
                  <a14:compatExt spid="_x0000_s51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20</xdr:row>
          <xdr:rowOff>28575</xdr:rowOff>
        </xdr:from>
        <xdr:to>
          <xdr:col>12</xdr:col>
          <xdr:colOff>666750</xdr:colOff>
          <xdr:row>20</xdr:row>
          <xdr:rowOff>266700</xdr:rowOff>
        </xdr:to>
        <xdr:sp macro="" textlink="">
          <xdr:nvSpPr>
            <xdr:cNvPr id="5183" name="Drop Down 63" hidden="1">
              <a:extLst>
                <a:ext uri="{63B3BB69-23CF-44E3-9099-C40C66FF867C}">
                  <a14:compatExt spid="_x0000_s51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21</xdr:row>
          <xdr:rowOff>47625</xdr:rowOff>
        </xdr:from>
        <xdr:to>
          <xdr:col>12</xdr:col>
          <xdr:colOff>666750</xdr:colOff>
          <xdr:row>22</xdr:row>
          <xdr:rowOff>0</xdr:rowOff>
        </xdr:to>
        <xdr:sp macro="" textlink="">
          <xdr:nvSpPr>
            <xdr:cNvPr id="5184" name="Drop Down 64" hidden="1">
              <a:extLst>
                <a:ext uri="{63B3BB69-23CF-44E3-9099-C40C66FF867C}">
                  <a14:compatExt spid="_x0000_s51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22</xdr:row>
          <xdr:rowOff>57150</xdr:rowOff>
        </xdr:from>
        <xdr:to>
          <xdr:col>12</xdr:col>
          <xdr:colOff>666750</xdr:colOff>
          <xdr:row>23</xdr:row>
          <xdr:rowOff>9525</xdr:rowOff>
        </xdr:to>
        <xdr:sp macro="" textlink="">
          <xdr:nvSpPr>
            <xdr:cNvPr id="5185" name="Drop Down 65" hidden="1">
              <a:extLst>
                <a:ext uri="{63B3BB69-23CF-44E3-9099-C40C66FF867C}">
                  <a14:compatExt spid="_x0000_s51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23</xdr:row>
          <xdr:rowOff>47625</xdr:rowOff>
        </xdr:from>
        <xdr:to>
          <xdr:col>12</xdr:col>
          <xdr:colOff>666750</xdr:colOff>
          <xdr:row>24</xdr:row>
          <xdr:rowOff>0</xdr:rowOff>
        </xdr:to>
        <xdr:sp macro="" textlink="">
          <xdr:nvSpPr>
            <xdr:cNvPr id="5186" name="Drop Down 66" hidden="1">
              <a:extLst>
                <a:ext uri="{63B3BB69-23CF-44E3-9099-C40C66FF867C}">
                  <a14:compatExt spid="_x0000_s51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24</xdr:row>
          <xdr:rowOff>57150</xdr:rowOff>
        </xdr:from>
        <xdr:to>
          <xdr:col>12</xdr:col>
          <xdr:colOff>666750</xdr:colOff>
          <xdr:row>25</xdr:row>
          <xdr:rowOff>0</xdr:rowOff>
        </xdr:to>
        <xdr:sp macro="" textlink="">
          <xdr:nvSpPr>
            <xdr:cNvPr id="5187" name="Drop Down 67" hidden="1">
              <a:extLst>
                <a:ext uri="{63B3BB69-23CF-44E3-9099-C40C66FF867C}">
                  <a14:compatExt spid="_x0000_s51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25</xdr:row>
          <xdr:rowOff>38100</xdr:rowOff>
        </xdr:from>
        <xdr:to>
          <xdr:col>12</xdr:col>
          <xdr:colOff>666750</xdr:colOff>
          <xdr:row>25</xdr:row>
          <xdr:rowOff>276225</xdr:rowOff>
        </xdr:to>
        <xdr:sp macro="" textlink="">
          <xdr:nvSpPr>
            <xdr:cNvPr id="5188" name="Drop Down 68" hidden="1">
              <a:extLst>
                <a:ext uri="{63B3BB69-23CF-44E3-9099-C40C66FF867C}">
                  <a14:compatExt spid="_x0000_s51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26</xdr:row>
          <xdr:rowOff>47625</xdr:rowOff>
        </xdr:from>
        <xdr:to>
          <xdr:col>12</xdr:col>
          <xdr:colOff>666750</xdr:colOff>
          <xdr:row>27</xdr:row>
          <xdr:rowOff>0</xdr:rowOff>
        </xdr:to>
        <xdr:sp macro="" textlink="">
          <xdr:nvSpPr>
            <xdr:cNvPr id="5189" name="Drop Down 69" hidden="1">
              <a:extLst>
                <a:ext uri="{63B3BB69-23CF-44E3-9099-C40C66FF867C}">
                  <a14:compatExt spid="_x0000_s51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27</xdr:row>
          <xdr:rowOff>47625</xdr:rowOff>
        </xdr:from>
        <xdr:to>
          <xdr:col>12</xdr:col>
          <xdr:colOff>666750</xdr:colOff>
          <xdr:row>28</xdr:row>
          <xdr:rowOff>0</xdr:rowOff>
        </xdr:to>
        <xdr:sp macro="" textlink="">
          <xdr:nvSpPr>
            <xdr:cNvPr id="5190" name="Drop Down 70" hidden="1">
              <a:extLst>
                <a:ext uri="{63B3BB69-23CF-44E3-9099-C40C66FF867C}">
                  <a14:compatExt spid="_x0000_s51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28</xdr:row>
          <xdr:rowOff>57150</xdr:rowOff>
        </xdr:from>
        <xdr:to>
          <xdr:col>12</xdr:col>
          <xdr:colOff>666750</xdr:colOff>
          <xdr:row>29</xdr:row>
          <xdr:rowOff>9525</xdr:rowOff>
        </xdr:to>
        <xdr:sp macro="" textlink="">
          <xdr:nvSpPr>
            <xdr:cNvPr id="5191" name="Drop Down 71" hidden="1">
              <a:extLst>
                <a:ext uri="{63B3BB69-23CF-44E3-9099-C40C66FF867C}">
                  <a14:compatExt spid="_x0000_s51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29</xdr:row>
          <xdr:rowOff>47625</xdr:rowOff>
        </xdr:from>
        <xdr:to>
          <xdr:col>12</xdr:col>
          <xdr:colOff>666750</xdr:colOff>
          <xdr:row>30</xdr:row>
          <xdr:rowOff>0</xdr:rowOff>
        </xdr:to>
        <xdr:sp macro="" textlink="">
          <xdr:nvSpPr>
            <xdr:cNvPr id="5192" name="Drop Down 72" hidden="1">
              <a:extLst>
                <a:ext uri="{63B3BB69-23CF-44E3-9099-C40C66FF867C}">
                  <a14:compatExt spid="_x0000_s51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30</xdr:row>
          <xdr:rowOff>57150</xdr:rowOff>
        </xdr:from>
        <xdr:to>
          <xdr:col>12</xdr:col>
          <xdr:colOff>666750</xdr:colOff>
          <xdr:row>31</xdr:row>
          <xdr:rowOff>0</xdr:rowOff>
        </xdr:to>
        <xdr:sp macro="" textlink="">
          <xdr:nvSpPr>
            <xdr:cNvPr id="5193" name="Drop Down 73" hidden="1">
              <a:extLst>
                <a:ext uri="{63B3BB69-23CF-44E3-9099-C40C66FF867C}">
                  <a14:compatExt spid="_x0000_s5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32</xdr:row>
          <xdr:rowOff>19050</xdr:rowOff>
        </xdr:from>
        <xdr:to>
          <xdr:col>12</xdr:col>
          <xdr:colOff>666750</xdr:colOff>
          <xdr:row>32</xdr:row>
          <xdr:rowOff>257175</xdr:rowOff>
        </xdr:to>
        <xdr:sp macro="" textlink="">
          <xdr:nvSpPr>
            <xdr:cNvPr id="5195" name="Drop Down 75" hidden="1">
              <a:extLst>
                <a:ext uri="{63B3BB69-23CF-44E3-9099-C40C66FF867C}">
                  <a14:compatExt spid="_x0000_s5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33</xdr:row>
          <xdr:rowOff>28575</xdr:rowOff>
        </xdr:from>
        <xdr:to>
          <xdr:col>12</xdr:col>
          <xdr:colOff>666750</xdr:colOff>
          <xdr:row>33</xdr:row>
          <xdr:rowOff>257175</xdr:rowOff>
        </xdr:to>
        <xdr:sp macro="" textlink="">
          <xdr:nvSpPr>
            <xdr:cNvPr id="5196" name="Drop Down 76" hidden="1">
              <a:extLst>
                <a:ext uri="{63B3BB69-23CF-44E3-9099-C40C66FF867C}">
                  <a14:compatExt spid="_x0000_s51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34</xdr:row>
          <xdr:rowOff>19050</xdr:rowOff>
        </xdr:from>
        <xdr:to>
          <xdr:col>12</xdr:col>
          <xdr:colOff>666750</xdr:colOff>
          <xdr:row>34</xdr:row>
          <xdr:rowOff>257175</xdr:rowOff>
        </xdr:to>
        <xdr:sp macro="" textlink="">
          <xdr:nvSpPr>
            <xdr:cNvPr id="5197" name="Drop Down 77" hidden="1">
              <a:extLst>
                <a:ext uri="{63B3BB69-23CF-44E3-9099-C40C66FF867C}">
                  <a14:compatExt spid="_x0000_s51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35</xdr:row>
          <xdr:rowOff>28575</xdr:rowOff>
        </xdr:from>
        <xdr:to>
          <xdr:col>12</xdr:col>
          <xdr:colOff>666750</xdr:colOff>
          <xdr:row>35</xdr:row>
          <xdr:rowOff>266700</xdr:rowOff>
        </xdr:to>
        <xdr:sp macro="" textlink="">
          <xdr:nvSpPr>
            <xdr:cNvPr id="5198" name="Drop Down 78" hidden="1">
              <a:extLst>
                <a:ext uri="{63B3BB69-23CF-44E3-9099-C40C66FF867C}">
                  <a14:compatExt spid="_x0000_s51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36</xdr:row>
          <xdr:rowOff>28575</xdr:rowOff>
        </xdr:from>
        <xdr:to>
          <xdr:col>12</xdr:col>
          <xdr:colOff>666750</xdr:colOff>
          <xdr:row>36</xdr:row>
          <xdr:rowOff>266700</xdr:rowOff>
        </xdr:to>
        <xdr:sp macro="" textlink="">
          <xdr:nvSpPr>
            <xdr:cNvPr id="5199" name="Drop Down 79" hidden="1">
              <a:extLst>
                <a:ext uri="{63B3BB69-23CF-44E3-9099-C40C66FF867C}">
                  <a14:compatExt spid="_x0000_s51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37</xdr:row>
          <xdr:rowOff>28575</xdr:rowOff>
        </xdr:from>
        <xdr:to>
          <xdr:col>12</xdr:col>
          <xdr:colOff>666750</xdr:colOff>
          <xdr:row>37</xdr:row>
          <xdr:rowOff>266700</xdr:rowOff>
        </xdr:to>
        <xdr:sp macro="" textlink="">
          <xdr:nvSpPr>
            <xdr:cNvPr id="5200" name="Drop Down 80" hidden="1">
              <a:extLst>
                <a:ext uri="{63B3BB69-23CF-44E3-9099-C40C66FF867C}">
                  <a14:compatExt spid="_x0000_s52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38</xdr:row>
          <xdr:rowOff>28575</xdr:rowOff>
        </xdr:from>
        <xdr:to>
          <xdr:col>12</xdr:col>
          <xdr:colOff>666750</xdr:colOff>
          <xdr:row>38</xdr:row>
          <xdr:rowOff>266700</xdr:rowOff>
        </xdr:to>
        <xdr:sp macro="" textlink="">
          <xdr:nvSpPr>
            <xdr:cNvPr id="5201" name="Drop Down 81" hidden="1">
              <a:extLst>
                <a:ext uri="{63B3BB69-23CF-44E3-9099-C40C66FF867C}">
                  <a14:compatExt spid="_x0000_s5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39</xdr:row>
          <xdr:rowOff>19050</xdr:rowOff>
        </xdr:from>
        <xdr:to>
          <xdr:col>12</xdr:col>
          <xdr:colOff>666750</xdr:colOff>
          <xdr:row>39</xdr:row>
          <xdr:rowOff>257175</xdr:rowOff>
        </xdr:to>
        <xdr:sp macro="" textlink="">
          <xdr:nvSpPr>
            <xdr:cNvPr id="5202" name="Drop Down 82" hidden="1">
              <a:extLst>
                <a:ext uri="{63B3BB69-23CF-44E3-9099-C40C66FF867C}">
                  <a14:compatExt spid="_x0000_s52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40</xdr:row>
          <xdr:rowOff>19050</xdr:rowOff>
        </xdr:from>
        <xdr:to>
          <xdr:col>12</xdr:col>
          <xdr:colOff>666750</xdr:colOff>
          <xdr:row>40</xdr:row>
          <xdr:rowOff>257175</xdr:rowOff>
        </xdr:to>
        <xdr:sp macro="" textlink="">
          <xdr:nvSpPr>
            <xdr:cNvPr id="5203" name="Drop Down 83" hidden="1">
              <a:extLst>
                <a:ext uri="{63B3BB69-23CF-44E3-9099-C40C66FF867C}">
                  <a14:compatExt spid="_x0000_s52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41</xdr:row>
          <xdr:rowOff>38100</xdr:rowOff>
        </xdr:from>
        <xdr:to>
          <xdr:col>12</xdr:col>
          <xdr:colOff>666750</xdr:colOff>
          <xdr:row>41</xdr:row>
          <xdr:rowOff>266700</xdr:rowOff>
        </xdr:to>
        <xdr:sp macro="" textlink="">
          <xdr:nvSpPr>
            <xdr:cNvPr id="5204" name="Drop Down 84" hidden="1">
              <a:extLst>
                <a:ext uri="{63B3BB69-23CF-44E3-9099-C40C66FF867C}">
                  <a14:compatExt spid="_x0000_s52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42</xdr:row>
          <xdr:rowOff>28575</xdr:rowOff>
        </xdr:from>
        <xdr:to>
          <xdr:col>12</xdr:col>
          <xdr:colOff>666750</xdr:colOff>
          <xdr:row>42</xdr:row>
          <xdr:rowOff>266700</xdr:rowOff>
        </xdr:to>
        <xdr:sp macro="" textlink="">
          <xdr:nvSpPr>
            <xdr:cNvPr id="5205" name="Drop Down 85" hidden="1">
              <a:extLst>
                <a:ext uri="{63B3BB69-23CF-44E3-9099-C40C66FF867C}">
                  <a14:compatExt spid="_x0000_s52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43</xdr:row>
          <xdr:rowOff>38100</xdr:rowOff>
        </xdr:from>
        <xdr:to>
          <xdr:col>12</xdr:col>
          <xdr:colOff>666750</xdr:colOff>
          <xdr:row>43</xdr:row>
          <xdr:rowOff>276225</xdr:rowOff>
        </xdr:to>
        <xdr:sp macro="" textlink="">
          <xdr:nvSpPr>
            <xdr:cNvPr id="5206" name="Drop Down 86" hidden="1">
              <a:extLst>
                <a:ext uri="{63B3BB69-23CF-44E3-9099-C40C66FF867C}">
                  <a14:compatExt spid="_x0000_s52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44</xdr:row>
          <xdr:rowOff>28575</xdr:rowOff>
        </xdr:from>
        <xdr:to>
          <xdr:col>12</xdr:col>
          <xdr:colOff>666750</xdr:colOff>
          <xdr:row>44</xdr:row>
          <xdr:rowOff>257175</xdr:rowOff>
        </xdr:to>
        <xdr:sp macro="" textlink="">
          <xdr:nvSpPr>
            <xdr:cNvPr id="5207" name="Drop Down 87" hidden="1">
              <a:extLst>
                <a:ext uri="{63B3BB69-23CF-44E3-9099-C40C66FF867C}">
                  <a14:compatExt spid="_x0000_s52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45</xdr:row>
          <xdr:rowOff>28575</xdr:rowOff>
        </xdr:from>
        <xdr:to>
          <xdr:col>12</xdr:col>
          <xdr:colOff>666750</xdr:colOff>
          <xdr:row>45</xdr:row>
          <xdr:rowOff>266700</xdr:rowOff>
        </xdr:to>
        <xdr:sp macro="" textlink="">
          <xdr:nvSpPr>
            <xdr:cNvPr id="5208" name="Drop Down 88" hidden="1">
              <a:extLst>
                <a:ext uri="{63B3BB69-23CF-44E3-9099-C40C66FF867C}">
                  <a14:compatExt spid="_x0000_s52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46</xdr:row>
          <xdr:rowOff>19050</xdr:rowOff>
        </xdr:from>
        <xdr:to>
          <xdr:col>12</xdr:col>
          <xdr:colOff>666750</xdr:colOff>
          <xdr:row>46</xdr:row>
          <xdr:rowOff>257175</xdr:rowOff>
        </xdr:to>
        <xdr:sp macro="" textlink="">
          <xdr:nvSpPr>
            <xdr:cNvPr id="5209" name="Drop Down 89" hidden="1">
              <a:extLst>
                <a:ext uri="{63B3BB69-23CF-44E3-9099-C40C66FF867C}">
                  <a14:compatExt spid="_x0000_s52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47</xdr:row>
          <xdr:rowOff>28575</xdr:rowOff>
        </xdr:from>
        <xdr:to>
          <xdr:col>12</xdr:col>
          <xdr:colOff>666750</xdr:colOff>
          <xdr:row>47</xdr:row>
          <xdr:rowOff>266700</xdr:rowOff>
        </xdr:to>
        <xdr:sp macro="" textlink="">
          <xdr:nvSpPr>
            <xdr:cNvPr id="5210" name="Drop Down 90" hidden="1">
              <a:extLst>
                <a:ext uri="{63B3BB69-23CF-44E3-9099-C40C66FF867C}">
                  <a14:compatExt spid="_x0000_s52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48</xdr:row>
          <xdr:rowOff>19050</xdr:rowOff>
        </xdr:from>
        <xdr:to>
          <xdr:col>12</xdr:col>
          <xdr:colOff>666750</xdr:colOff>
          <xdr:row>48</xdr:row>
          <xdr:rowOff>257175</xdr:rowOff>
        </xdr:to>
        <xdr:sp macro="" textlink="">
          <xdr:nvSpPr>
            <xdr:cNvPr id="5211" name="Drop Down 91" hidden="1">
              <a:extLst>
                <a:ext uri="{63B3BB69-23CF-44E3-9099-C40C66FF867C}">
                  <a14:compatExt spid="_x0000_s52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49</xdr:row>
          <xdr:rowOff>38100</xdr:rowOff>
        </xdr:from>
        <xdr:to>
          <xdr:col>12</xdr:col>
          <xdr:colOff>666750</xdr:colOff>
          <xdr:row>49</xdr:row>
          <xdr:rowOff>276225</xdr:rowOff>
        </xdr:to>
        <xdr:sp macro="" textlink="">
          <xdr:nvSpPr>
            <xdr:cNvPr id="5212" name="Drop Down 92" hidden="1">
              <a:extLst>
                <a:ext uri="{63B3BB69-23CF-44E3-9099-C40C66FF867C}">
                  <a14:compatExt spid="_x0000_s52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50</xdr:row>
          <xdr:rowOff>38100</xdr:rowOff>
        </xdr:from>
        <xdr:to>
          <xdr:col>12</xdr:col>
          <xdr:colOff>666750</xdr:colOff>
          <xdr:row>50</xdr:row>
          <xdr:rowOff>266700</xdr:rowOff>
        </xdr:to>
        <xdr:sp macro="" textlink="">
          <xdr:nvSpPr>
            <xdr:cNvPr id="5213" name="Drop Down 93" hidden="1">
              <a:extLst>
                <a:ext uri="{63B3BB69-23CF-44E3-9099-C40C66FF867C}">
                  <a14:compatExt spid="_x0000_s5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51</xdr:row>
          <xdr:rowOff>38100</xdr:rowOff>
        </xdr:from>
        <xdr:to>
          <xdr:col>12</xdr:col>
          <xdr:colOff>666750</xdr:colOff>
          <xdr:row>51</xdr:row>
          <xdr:rowOff>276225</xdr:rowOff>
        </xdr:to>
        <xdr:sp macro="" textlink="">
          <xdr:nvSpPr>
            <xdr:cNvPr id="5214" name="Drop Down 94" hidden="1">
              <a:extLst>
                <a:ext uri="{63B3BB69-23CF-44E3-9099-C40C66FF867C}">
                  <a14:compatExt spid="_x0000_s52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52</xdr:row>
          <xdr:rowOff>28575</xdr:rowOff>
        </xdr:from>
        <xdr:to>
          <xdr:col>12</xdr:col>
          <xdr:colOff>666750</xdr:colOff>
          <xdr:row>52</xdr:row>
          <xdr:rowOff>266700</xdr:rowOff>
        </xdr:to>
        <xdr:sp macro="" textlink="">
          <xdr:nvSpPr>
            <xdr:cNvPr id="5215" name="Drop Down 95" hidden="1">
              <a:extLst>
                <a:ext uri="{63B3BB69-23CF-44E3-9099-C40C66FF867C}">
                  <a14:compatExt spid="_x0000_s52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53</xdr:row>
          <xdr:rowOff>28575</xdr:rowOff>
        </xdr:from>
        <xdr:to>
          <xdr:col>12</xdr:col>
          <xdr:colOff>666750</xdr:colOff>
          <xdr:row>53</xdr:row>
          <xdr:rowOff>266700</xdr:rowOff>
        </xdr:to>
        <xdr:sp macro="" textlink="">
          <xdr:nvSpPr>
            <xdr:cNvPr id="5216" name="Drop Down 96" hidden="1">
              <a:extLst>
                <a:ext uri="{63B3BB69-23CF-44E3-9099-C40C66FF867C}">
                  <a14:compatExt spid="_x0000_s52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54</xdr:row>
          <xdr:rowOff>19050</xdr:rowOff>
        </xdr:from>
        <xdr:to>
          <xdr:col>12</xdr:col>
          <xdr:colOff>666750</xdr:colOff>
          <xdr:row>54</xdr:row>
          <xdr:rowOff>257175</xdr:rowOff>
        </xdr:to>
        <xdr:sp macro="" textlink="">
          <xdr:nvSpPr>
            <xdr:cNvPr id="5217" name="Drop Down 97" hidden="1">
              <a:extLst>
                <a:ext uri="{63B3BB69-23CF-44E3-9099-C40C66FF867C}">
                  <a14:compatExt spid="_x0000_s52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55</xdr:row>
          <xdr:rowOff>28575</xdr:rowOff>
        </xdr:from>
        <xdr:to>
          <xdr:col>12</xdr:col>
          <xdr:colOff>666750</xdr:colOff>
          <xdr:row>55</xdr:row>
          <xdr:rowOff>266700</xdr:rowOff>
        </xdr:to>
        <xdr:sp macro="" textlink="">
          <xdr:nvSpPr>
            <xdr:cNvPr id="5218" name="Drop Down 98" hidden="1">
              <a:extLst>
                <a:ext uri="{63B3BB69-23CF-44E3-9099-C40C66FF867C}">
                  <a14:compatExt spid="_x0000_s52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56</xdr:row>
          <xdr:rowOff>28575</xdr:rowOff>
        </xdr:from>
        <xdr:to>
          <xdr:col>12</xdr:col>
          <xdr:colOff>666750</xdr:colOff>
          <xdr:row>56</xdr:row>
          <xdr:rowOff>266700</xdr:rowOff>
        </xdr:to>
        <xdr:sp macro="" textlink="">
          <xdr:nvSpPr>
            <xdr:cNvPr id="5219" name="Drop Down 99" hidden="1">
              <a:extLst>
                <a:ext uri="{63B3BB69-23CF-44E3-9099-C40C66FF867C}">
                  <a14:compatExt spid="_x0000_s52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57</xdr:row>
          <xdr:rowOff>28575</xdr:rowOff>
        </xdr:from>
        <xdr:to>
          <xdr:col>12</xdr:col>
          <xdr:colOff>666750</xdr:colOff>
          <xdr:row>57</xdr:row>
          <xdr:rowOff>266700</xdr:rowOff>
        </xdr:to>
        <xdr:sp macro="" textlink="">
          <xdr:nvSpPr>
            <xdr:cNvPr id="5220" name="Drop Down 100" hidden="1">
              <a:extLst>
                <a:ext uri="{63B3BB69-23CF-44E3-9099-C40C66FF867C}">
                  <a14:compatExt spid="_x0000_s52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58</xdr:row>
          <xdr:rowOff>19050</xdr:rowOff>
        </xdr:from>
        <xdr:to>
          <xdr:col>12</xdr:col>
          <xdr:colOff>666750</xdr:colOff>
          <xdr:row>58</xdr:row>
          <xdr:rowOff>247650</xdr:rowOff>
        </xdr:to>
        <xdr:sp macro="" textlink="">
          <xdr:nvSpPr>
            <xdr:cNvPr id="5221" name="Drop Down 101" hidden="1">
              <a:extLst>
                <a:ext uri="{63B3BB69-23CF-44E3-9099-C40C66FF867C}">
                  <a14:compatExt spid="_x0000_s52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59</xdr:row>
          <xdr:rowOff>19050</xdr:rowOff>
        </xdr:from>
        <xdr:to>
          <xdr:col>12</xdr:col>
          <xdr:colOff>666750</xdr:colOff>
          <xdr:row>59</xdr:row>
          <xdr:rowOff>257175</xdr:rowOff>
        </xdr:to>
        <xdr:sp macro="" textlink="">
          <xdr:nvSpPr>
            <xdr:cNvPr id="5222" name="Drop Down 102" hidden="1">
              <a:extLst>
                <a:ext uri="{63B3BB69-23CF-44E3-9099-C40C66FF867C}">
                  <a14:compatExt spid="_x0000_s5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60</xdr:row>
          <xdr:rowOff>19050</xdr:rowOff>
        </xdr:from>
        <xdr:to>
          <xdr:col>12</xdr:col>
          <xdr:colOff>666750</xdr:colOff>
          <xdr:row>60</xdr:row>
          <xdr:rowOff>257175</xdr:rowOff>
        </xdr:to>
        <xdr:sp macro="" textlink="">
          <xdr:nvSpPr>
            <xdr:cNvPr id="5223" name="Drop Down 103" hidden="1">
              <a:extLst>
                <a:ext uri="{63B3BB69-23CF-44E3-9099-C40C66FF867C}">
                  <a14:compatExt spid="_x0000_s52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61</xdr:row>
          <xdr:rowOff>28575</xdr:rowOff>
        </xdr:from>
        <xdr:to>
          <xdr:col>12</xdr:col>
          <xdr:colOff>666750</xdr:colOff>
          <xdr:row>61</xdr:row>
          <xdr:rowOff>257175</xdr:rowOff>
        </xdr:to>
        <xdr:sp macro="" textlink="">
          <xdr:nvSpPr>
            <xdr:cNvPr id="5224" name="Drop Down 104" hidden="1">
              <a:extLst>
                <a:ext uri="{63B3BB69-23CF-44E3-9099-C40C66FF867C}">
                  <a14:compatExt spid="_x0000_s5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62</xdr:row>
          <xdr:rowOff>28575</xdr:rowOff>
        </xdr:from>
        <xdr:to>
          <xdr:col>12</xdr:col>
          <xdr:colOff>666750</xdr:colOff>
          <xdr:row>62</xdr:row>
          <xdr:rowOff>266700</xdr:rowOff>
        </xdr:to>
        <xdr:sp macro="" textlink="">
          <xdr:nvSpPr>
            <xdr:cNvPr id="5225" name="Drop Down 105" hidden="1">
              <a:extLst>
                <a:ext uri="{63B3BB69-23CF-44E3-9099-C40C66FF867C}">
                  <a14:compatExt spid="_x0000_s52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63</xdr:row>
          <xdr:rowOff>19050</xdr:rowOff>
        </xdr:from>
        <xdr:to>
          <xdr:col>12</xdr:col>
          <xdr:colOff>666750</xdr:colOff>
          <xdr:row>63</xdr:row>
          <xdr:rowOff>257175</xdr:rowOff>
        </xdr:to>
        <xdr:sp macro="" textlink="">
          <xdr:nvSpPr>
            <xdr:cNvPr id="5226" name="Drop Down 106" hidden="1">
              <a:extLst>
                <a:ext uri="{63B3BB69-23CF-44E3-9099-C40C66FF867C}">
                  <a14:compatExt spid="_x0000_s5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64</xdr:row>
          <xdr:rowOff>19050</xdr:rowOff>
        </xdr:from>
        <xdr:to>
          <xdr:col>12</xdr:col>
          <xdr:colOff>666750</xdr:colOff>
          <xdr:row>64</xdr:row>
          <xdr:rowOff>257175</xdr:rowOff>
        </xdr:to>
        <xdr:sp macro="" textlink="">
          <xdr:nvSpPr>
            <xdr:cNvPr id="5227" name="Drop Down 107" hidden="1">
              <a:extLst>
                <a:ext uri="{63B3BB69-23CF-44E3-9099-C40C66FF867C}">
                  <a14:compatExt spid="_x0000_s52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65</xdr:row>
          <xdr:rowOff>19050</xdr:rowOff>
        </xdr:from>
        <xdr:to>
          <xdr:col>12</xdr:col>
          <xdr:colOff>666750</xdr:colOff>
          <xdr:row>65</xdr:row>
          <xdr:rowOff>257175</xdr:rowOff>
        </xdr:to>
        <xdr:sp macro="" textlink="">
          <xdr:nvSpPr>
            <xdr:cNvPr id="5228" name="Drop Down 108" hidden="1">
              <a:extLst>
                <a:ext uri="{63B3BB69-23CF-44E3-9099-C40C66FF867C}">
                  <a14:compatExt spid="_x0000_s5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67</xdr:row>
          <xdr:rowOff>38100</xdr:rowOff>
        </xdr:from>
        <xdr:to>
          <xdr:col>12</xdr:col>
          <xdr:colOff>666750</xdr:colOff>
          <xdr:row>67</xdr:row>
          <xdr:rowOff>266700</xdr:rowOff>
        </xdr:to>
        <xdr:sp macro="" textlink="">
          <xdr:nvSpPr>
            <xdr:cNvPr id="5230" name="Drop Down 110" hidden="1">
              <a:extLst>
                <a:ext uri="{63B3BB69-23CF-44E3-9099-C40C66FF867C}">
                  <a14:compatExt spid="_x0000_s5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733425</xdr:colOff>
          <xdr:row>19</xdr:row>
          <xdr:rowOff>28575</xdr:rowOff>
        </xdr:from>
        <xdr:to>
          <xdr:col>29</xdr:col>
          <xdr:colOff>190500</xdr:colOff>
          <xdr:row>19</xdr:row>
          <xdr:rowOff>257175</xdr:rowOff>
        </xdr:to>
        <xdr:sp macro="" textlink="">
          <xdr:nvSpPr>
            <xdr:cNvPr id="5231" name="Drop Down 111" hidden="1">
              <a:extLst>
                <a:ext uri="{63B3BB69-23CF-44E3-9099-C40C66FF867C}">
                  <a14:compatExt spid="_x0000_s5231"/>
                </a:ext>
              </a:extLst>
            </xdr:cNvPr>
            <xdr:cNvSpPr/>
          </xdr:nvSpPr>
          <xdr:spPr>
            <a:xfrm>
              <a:off x="0" y="0"/>
              <a:ext cx="0" cy="0"/>
            </a:xfrm>
            <a:prstGeom prst="rect">
              <a:avLst/>
            </a:prstGeom>
          </xdr:spPr>
        </xdr:sp>
        <xdr:clientData/>
      </xdr:twoCellAnchor>
    </mc:Choice>
    <mc:Fallback/>
  </mc:AlternateContent>
  <xdr:twoCellAnchor>
    <xdr:from>
      <xdr:col>8</xdr:col>
      <xdr:colOff>295275</xdr:colOff>
      <xdr:row>17</xdr:row>
      <xdr:rowOff>180975</xdr:rowOff>
    </xdr:from>
    <xdr:to>
      <xdr:col>8</xdr:col>
      <xdr:colOff>533400</xdr:colOff>
      <xdr:row>18</xdr:row>
      <xdr:rowOff>85725</xdr:rowOff>
    </xdr:to>
    <xdr:cxnSp macro="">
      <xdr:nvCxnSpPr>
        <xdr:cNvPr id="3" name="Gerade Verbindung mit Pfeil 2"/>
        <xdr:cNvCxnSpPr/>
      </xdr:nvCxnSpPr>
      <xdr:spPr>
        <a:xfrm flipH="1">
          <a:off x="6410325" y="3333750"/>
          <a:ext cx="238125" cy="1809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266700</xdr:colOff>
      <xdr:row>17</xdr:row>
      <xdr:rowOff>180975</xdr:rowOff>
    </xdr:from>
    <xdr:to>
      <xdr:col>9</xdr:col>
      <xdr:colOff>466725</xdr:colOff>
      <xdr:row>18</xdr:row>
      <xdr:rowOff>104775</xdr:rowOff>
    </xdr:to>
    <xdr:cxnSp macro="">
      <xdr:nvCxnSpPr>
        <xdr:cNvPr id="6" name="Gerade Verbindung mit Pfeil 5"/>
        <xdr:cNvCxnSpPr/>
      </xdr:nvCxnSpPr>
      <xdr:spPr>
        <a:xfrm>
          <a:off x="7058025" y="3333750"/>
          <a:ext cx="200025" cy="2000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104775</xdr:colOff>
          <xdr:row>66</xdr:row>
          <xdr:rowOff>28575</xdr:rowOff>
        </xdr:from>
        <xdr:to>
          <xdr:col>12</xdr:col>
          <xdr:colOff>666750</xdr:colOff>
          <xdr:row>66</xdr:row>
          <xdr:rowOff>266700</xdr:rowOff>
        </xdr:to>
        <xdr:sp macro="" textlink="">
          <xdr:nvSpPr>
            <xdr:cNvPr id="5415" name="Drop Down 295" hidden="1">
              <a:extLst>
                <a:ext uri="{63B3BB69-23CF-44E3-9099-C40C66FF867C}">
                  <a14:compatExt spid="_x0000_s54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31</xdr:row>
          <xdr:rowOff>47625</xdr:rowOff>
        </xdr:from>
        <xdr:to>
          <xdr:col>12</xdr:col>
          <xdr:colOff>666750</xdr:colOff>
          <xdr:row>31</xdr:row>
          <xdr:rowOff>276225</xdr:rowOff>
        </xdr:to>
        <xdr:sp macro="" textlink="">
          <xdr:nvSpPr>
            <xdr:cNvPr id="5416" name="Drop Down 296" hidden="1">
              <a:extLst>
                <a:ext uri="{63B3BB69-23CF-44E3-9099-C40C66FF867C}">
                  <a14:compatExt spid="_x0000_s5416"/>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0</xdr:rowOff>
    </xdr:from>
    <xdr:to>
      <xdr:col>1</xdr:col>
      <xdr:colOff>733425</xdr:colOff>
      <xdr:row>3</xdr:row>
      <xdr:rowOff>190500</xdr:rowOff>
    </xdr:to>
    <xdr:pic>
      <xdr:nvPicPr>
        <xdr:cNvPr id="2" name="Grafik 1" descr="facett_hks37_200x200.png"/>
        <xdr:cNvPicPr>
          <a:picLocks noChangeAspect="1"/>
        </xdr:cNvPicPr>
      </xdr:nvPicPr>
      <xdr:blipFill>
        <a:blip xmlns:r="http://schemas.openxmlformats.org/officeDocument/2006/relationships" r:embed="rId1" cstate="print">
          <a:biLevel thresh="50000"/>
        </a:blip>
        <a:stretch>
          <a:fillRect/>
        </a:stretch>
      </xdr:blipFill>
      <xdr:spPr>
        <a:xfrm>
          <a:off x="209550" y="0"/>
          <a:ext cx="790575" cy="7905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1143000</xdr:colOff>
      <xdr:row>5</xdr:row>
      <xdr:rowOff>66675</xdr:rowOff>
    </xdr:to>
    <xdr:pic>
      <xdr:nvPicPr>
        <xdr:cNvPr id="2" name="Grafik 1" descr="facett_hks37_200x200.png"/>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1</xdr:col>
      <xdr:colOff>28575</xdr:colOff>
      <xdr:row>4</xdr:row>
      <xdr:rowOff>28575</xdr:rowOff>
    </xdr:to>
    <xdr:pic>
      <xdr:nvPicPr>
        <xdr:cNvPr id="2" name="Grafik 1" descr="facett_hks37_200x200.png"/>
        <xdr:cNvPicPr>
          <a:picLocks noChangeAspect="1"/>
        </xdr:cNvPicPr>
      </xdr:nvPicPr>
      <xdr:blipFill>
        <a:blip xmlns:r="http://schemas.openxmlformats.org/officeDocument/2006/relationships" r:embed="rId1" cstate="print">
          <a:biLevel thresh="50000"/>
        </a:blip>
        <a:stretch>
          <a:fillRect/>
        </a:stretch>
      </xdr:blipFill>
      <xdr:spPr>
        <a:xfrm>
          <a:off x="152400" y="0"/>
          <a:ext cx="990600" cy="990600"/>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D93"/>
  <sheetViews>
    <sheetView workbookViewId="0">
      <pane ySplit="1" topLeftCell="A66" activePane="bottomLeft" state="frozen"/>
      <selection activeCell="C57" sqref="C57"/>
      <selection pane="bottomLeft" activeCell="C88" sqref="C88"/>
    </sheetView>
  </sheetViews>
  <sheetFormatPr baseColWidth="10" defaultColWidth="11.42578125" defaultRowHeight="12.75" x14ac:dyDescent="0.2"/>
  <cols>
    <col min="1" max="1" width="11.42578125" style="10"/>
    <col min="2" max="2" width="11.42578125" style="11"/>
    <col min="3" max="3" width="112.5703125" style="159" customWidth="1"/>
    <col min="4" max="4" width="14.140625" style="162" customWidth="1"/>
    <col min="5" max="16384" width="11.42578125" style="12"/>
  </cols>
  <sheetData>
    <row r="1" spans="1:4" s="6" customFormat="1" ht="24" customHeight="1" x14ac:dyDescent="0.2">
      <c r="A1" s="4" t="s">
        <v>6</v>
      </c>
      <c r="B1" s="5" t="s">
        <v>7</v>
      </c>
      <c r="C1" s="150" t="s">
        <v>8</v>
      </c>
      <c r="D1" s="160" t="s">
        <v>119</v>
      </c>
    </row>
    <row r="2" spans="1:4" s="9" customFormat="1" ht="51" x14ac:dyDescent="0.2">
      <c r="A2" s="26" t="s">
        <v>16</v>
      </c>
      <c r="B2" s="27">
        <v>41989</v>
      </c>
      <c r="C2" s="151" t="s">
        <v>22</v>
      </c>
      <c r="D2" s="161" t="s">
        <v>120</v>
      </c>
    </row>
    <row r="3" spans="1:4" s="9" customFormat="1" ht="63.75" x14ac:dyDescent="0.2">
      <c r="A3" s="26" t="s">
        <v>18</v>
      </c>
      <c r="B3" s="27">
        <v>42092</v>
      </c>
      <c r="C3" s="151" t="s">
        <v>23</v>
      </c>
      <c r="D3" s="161" t="s">
        <v>120</v>
      </c>
    </row>
    <row r="4" spans="1:4" s="9" customFormat="1" ht="25.5" x14ac:dyDescent="0.2">
      <c r="A4" s="26" t="s">
        <v>19</v>
      </c>
      <c r="B4" s="27">
        <v>42093</v>
      </c>
      <c r="C4" s="152" t="s">
        <v>14</v>
      </c>
      <c r="D4" s="161" t="s">
        <v>120</v>
      </c>
    </row>
    <row r="5" spans="1:4" x14ac:dyDescent="0.2">
      <c r="A5" s="25" t="s">
        <v>24</v>
      </c>
      <c r="B5" s="24">
        <v>42352</v>
      </c>
      <c r="C5" s="152" t="s">
        <v>15</v>
      </c>
      <c r="D5" s="162" t="s">
        <v>120</v>
      </c>
    </row>
    <row r="6" spans="1:4" x14ac:dyDescent="0.2">
      <c r="A6" s="26" t="s">
        <v>25</v>
      </c>
      <c r="B6" s="27">
        <v>42389</v>
      </c>
      <c r="C6" s="151" t="s">
        <v>17</v>
      </c>
      <c r="D6" s="162" t="s">
        <v>120</v>
      </c>
    </row>
    <row r="7" spans="1:4" x14ac:dyDescent="0.2">
      <c r="A7" s="26" t="s">
        <v>26</v>
      </c>
      <c r="B7" s="27">
        <v>42556</v>
      </c>
      <c r="C7" s="151" t="s">
        <v>27</v>
      </c>
      <c r="D7" s="162" t="s">
        <v>120</v>
      </c>
    </row>
    <row r="8" spans="1:4" ht="25.5" x14ac:dyDescent="0.2">
      <c r="A8" s="38"/>
      <c r="B8" s="39"/>
      <c r="C8" s="152" t="s">
        <v>28</v>
      </c>
    </row>
    <row r="9" spans="1:4" s="9" customFormat="1" x14ac:dyDescent="0.2">
      <c r="A9" s="25" t="s">
        <v>29</v>
      </c>
      <c r="B9" s="8">
        <v>42573</v>
      </c>
      <c r="C9" s="153" t="s">
        <v>21</v>
      </c>
      <c r="D9" s="161" t="s">
        <v>120</v>
      </c>
    </row>
    <row r="10" spans="1:4" s="9" customFormat="1" ht="25.5" x14ac:dyDescent="0.2">
      <c r="A10" s="7"/>
      <c r="B10" s="8"/>
      <c r="C10" s="154" t="s">
        <v>30</v>
      </c>
      <c r="D10" s="161"/>
    </row>
    <row r="11" spans="1:4" s="9" customFormat="1" x14ac:dyDescent="0.2">
      <c r="A11" s="20"/>
      <c r="B11" s="19"/>
      <c r="C11" s="155" t="s">
        <v>33</v>
      </c>
      <c r="D11" s="161"/>
    </row>
    <row r="12" spans="1:4" s="9" customFormat="1" x14ac:dyDescent="0.2">
      <c r="A12" s="20"/>
      <c r="B12" s="19"/>
      <c r="C12" s="155" t="s">
        <v>34</v>
      </c>
      <c r="D12" s="161"/>
    </row>
    <row r="13" spans="1:4" s="9" customFormat="1" x14ac:dyDescent="0.2">
      <c r="A13" s="20"/>
      <c r="B13" s="19"/>
      <c r="C13" s="155" t="s">
        <v>35</v>
      </c>
      <c r="D13" s="161"/>
    </row>
    <row r="14" spans="1:4" s="9" customFormat="1" x14ac:dyDescent="0.2">
      <c r="A14" s="7"/>
      <c r="B14" s="8"/>
      <c r="C14" s="155" t="s">
        <v>36</v>
      </c>
      <c r="D14" s="161"/>
    </row>
    <row r="15" spans="1:4" s="9" customFormat="1" x14ac:dyDescent="0.2">
      <c r="A15" s="7"/>
      <c r="B15" s="8"/>
      <c r="C15" s="152" t="s">
        <v>20</v>
      </c>
      <c r="D15" s="161"/>
    </row>
    <row r="16" spans="1:4" s="9" customFormat="1" ht="25.5" x14ac:dyDescent="0.2">
      <c r="A16" s="7"/>
      <c r="B16" s="8">
        <v>42579</v>
      </c>
      <c r="C16" s="152" t="s">
        <v>37</v>
      </c>
      <c r="D16" s="161" t="s">
        <v>120</v>
      </c>
    </row>
    <row r="17" spans="1:4" s="9" customFormat="1" x14ac:dyDescent="0.2">
      <c r="A17" s="7" t="s">
        <v>70</v>
      </c>
      <c r="B17" s="8">
        <v>42589</v>
      </c>
      <c r="C17" s="152" t="s">
        <v>61</v>
      </c>
      <c r="D17" s="161" t="s">
        <v>120</v>
      </c>
    </row>
    <row r="18" spans="1:4" s="9" customFormat="1" x14ac:dyDescent="0.2">
      <c r="A18" s="7"/>
      <c r="B18" s="8"/>
      <c r="C18" s="156" t="s">
        <v>62</v>
      </c>
      <c r="D18" s="161"/>
    </row>
    <row r="19" spans="1:4" s="9" customFormat="1" x14ac:dyDescent="0.2">
      <c r="A19" s="22"/>
      <c r="B19" s="21"/>
      <c r="C19" s="156" t="s">
        <v>63</v>
      </c>
      <c r="D19" s="161"/>
    </row>
    <row r="20" spans="1:4" s="9" customFormat="1" x14ac:dyDescent="0.2">
      <c r="A20" s="7"/>
      <c r="B20" s="8"/>
      <c r="C20" s="157" t="s">
        <v>65</v>
      </c>
      <c r="D20" s="161"/>
    </row>
    <row r="21" spans="1:4" s="9" customFormat="1" x14ac:dyDescent="0.2">
      <c r="A21" s="7"/>
      <c r="B21" s="8"/>
      <c r="C21" s="156" t="s">
        <v>64</v>
      </c>
      <c r="D21" s="161"/>
    </row>
    <row r="22" spans="1:4" s="9" customFormat="1" x14ac:dyDescent="0.2">
      <c r="A22" s="7"/>
      <c r="B22" s="8"/>
      <c r="C22" s="156" t="s">
        <v>67</v>
      </c>
      <c r="D22" s="161"/>
    </row>
    <row r="23" spans="1:4" s="9" customFormat="1" x14ac:dyDescent="0.2">
      <c r="A23" s="7"/>
      <c r="B23" s="8"/>
      <c r="C23" s="156" t="s">
        <v>68</v>
      </c>
      <c r="D23" s="161"/>
    </row>
    <row r="24" spans="1:4" s="9" customFormat="1" x14ac:dyDescent="0.2">
      <c r="A24" s="7"/>
      <c r="B24" s="8"/>
      <c r="C24" s="156" t="s">
        <v>69</v>
      </c>
      <c r="D24" s="161"/>
    </row>
    <row r="25" spans="1:4" s="9" customFormat="1" x14ac:dyDescent="0.2">
      <c r="A25" s="7" t="s">
        <v>79</v>
      </c>
      <c r="B25" s="8">
        <v>42732</v>
      </c>
      <c r="C25" s="152" t="s">
        <v>71</v>
      </c>
      <c r="D25" s="161" t="s">
        <v>120</v>
      </c>
    </row>
    <row r="26" spans="1:4" x14ac:dyDescent="0.2">
      <c r="B26" s="11">
        <v>42733</v>
      </c>
      <c r="C26" s="158" t="s">
        <v>74</v>
      </c>
      <c r="D26" s="162" t="s">
        <v>120</v>
      </c>
    </row>
    <row r="27" spans="1:4" x14ac:dyDescent="0.2">
      <c r="C27" s="158" t="s">
        <v>77</v>
      </c>
    </row>
    <row r="28" spans="1:4" x14ac:dyDescent="0.2">
      <c r="C28" s="158" t="s">
        <v>78</v>
      </c>
    </row>
    <row r="29" spans="1:4" x14ac:dyDescent="0.2">
      <c r="C29" s="158" t="s">
        <v>81</v>
      </c>
    </row>
    <row r="30" spans="1:4" x14ac:dyDescent="0.2">
      <c r="C30" s="158" t="s">
        <v>86</v>
      </c>
    </row>
    <row r="31" spans="1:4" ht="20.25" customHeight="1" x14ac:dyDescent="0.2">
      <c r="A31" s="10" t="s">
        <v>112</v>
      </c>
      <c r="B31" s="11">
        <v>42974</v>
      </c>
      <c r="C31" s="159" t="s">
        <v>113</v>
      </c>
      <c r="D31" s="162" t="s">
        <v>120</v>
      </c>
    </row>
    <row r="32" spans="1:4" x14ac:dyDescent="0.2">
      <c r="C32" s="158" t="s">
        <v>114</v>
      </c>
    </row>
    <row r="33" spans="2:4" ht="17.25" customHeight="1" x14ac:dyDescent="0.2">
      <c r="C33" s="159" t="s">
        <v>115</v>
      </c>
    </row>
    <row r="34" spans="2:4" x14ac:dyDescent="0.2">
      <c r="C34" s="159" t="s">
        <v>116</v>
      </c>
    </row>
    <row r="35" spans="2:4" ht="25.5" x14ac:dyDescent="0.2">
      <c r="C35" s="159" t="s">
        <v>117</v>
      </c>
    </row>
    <row r="36" spans="2:4" ht="25.5" x14ac:dyDescent="0.2">
      <c r="C36" s="159" t="s">
        <v>118</v>
      </c>
    </row>
    <row r="37" spans="2:4" ht="17.25" customHeight="1" x14ac:dyDescent="0.2">
      <c r="C37" s="163" t="s">
        <v>121</v>
      </c>
    </row>
    <row r="38" spans="2:4" x14ac:dyDescent="0.2">
      <c r="C38" s="158" t="s">
        <v>122</v>
      </c>
    </row>
    <row r="39" spans="2:4" ht="38.25" x14ac:dyDescent="0.2">
      <c r="C39" s="158" t="s">
        <v>128</v>
      </c>
    </row>
    <row r="40" spans="2:4" ht="12.75" customHeight="1" x14ac:dyDescent="0.2">
      <c r="C40" s="159" t="s">
        <v>132</v>
      </c>
    </row>
    <row r="41" spans="2:4" ht="25.5" x14ac:dyDescent="0.2">
      <c r="C41" s="159" t="s">
        <v>123</v>
      </c>
    </row>
    <row r="42" spans="2:4" ht="25.5" x14ac:dyDescent="0.2">
      <c r="C42" s="159" t="s">
        <v>124</v>
      </c>
    </row>
    <row r="43" spans="2:4" x14ac:dyDescent="0.2">
      <c r="C43" s="159" t="s">
        <v>141</v>
      </c>
    </row>
    <row r="44" spans="2:4" ht="25.5" x14ac:dyDescent="0.2">
      <c r="C44" s="159" t="s">
        <v>142</v>
      </c>
    </row>
    <row r="45" spans="2:4" ht="25.5" x14ac:dyDescent="0.2">
      <c r="C45" s="159" t="s">
        <v>148</v>
      </c>
    </row>
    <row r="46" spans="2:4" ht="51" x14ac:dyDescent="0.2">
      <c r="C46" s="159" t="s">
        <v>133</v>
      </c>
    </row>
    <row r="47" spans="2:4" ht="25.5" x14ac:dyDescent="0.2">
      <c r="C47" s="159" t="s">
        <v>134</v>
      </c>
    </row>
    <row r="48" spans="2:4" x14ac:dyDescent="0.2">
      <c r="B48" s="11">
        <v>43068</v>
      </c>
      <c r="C48" s="159" t="s">
        <v>145</v>
      </c>
      <c r="D48" s="162" t="s">
        <v>120</v>
      </c>
    </row>
    <row r="49" spans="1:4" x14ac:dyDescent="0.2">
      <c r="C49" s="159" t="s">
        <v>146</v>
      </c>
    </row>
    <row r="50" spans="1:4" x14ac:dyDescent="0.2">
      <c r="C50" s="159" t="s">
        <v>147</v>
      </c>
    </row>
    <row r="51" spans="1:4" ht="38.25" x14ac:dyDescent="0.2">
      <c r="B51" s="24">
        <v>43069</v>
      </c>
      <c r="C51" s="159" t="s">
        <v>149</v>
      </c>
    </row>
    <row r="52" spans="1:4" ht="13.5" customHeight="1" x14ac:dyDescent="0.2">
      <c r="C52" s="159" t="s">
        <v>150</v>
      </c>
    </row>
    <row r="53" spans="1:4" ht="30.75" customHeight="1" x14ac:dyDescent="0.2">
      <c r="A53" s="180" t="s">
        <v>152</v>
      </c>
      <c r="B53" s="181">
        <v>43308</v>
      </c>
      <c r="C53" s="159" t="s">
        <v>155</v>
      </c>
      <c r="D53" s="230" t="s">
        <v>120</v>
      </c>
    </row>
    <row r="54" spans="1:4" x14ac:dyDescent="0.2">
      <c r="C54" s="159" t="s">
        <v>154</v>
      </c>
      <c r="D54" s="231"/>
    </row>
    <row r="55" spans="1:4" ht="25.5" x14ac:dyDescent="0.2">
      <c r="C55" s="159" t="s">
        <v>153</v>
      </c>
      <c r="D55" s="231"/>
    </row>
    <row r="56" spans="1:4" ht="38.25" x14ac:dyDescent="0.2">
      <c r="C56" s="158" t="s">
        <v>167</v>
      </c>
      <c r="D56" s="231"/>
    </row>
    <row r="57" spans="1:4" x14ac:dyDescent="0.2">
      <c r="C57" s="159" t="s">
        <v>157</v>
      </c>
      <c r="D57" s="231"/>
    </row>
    <row r="58" spans="1:4" x14ac:dyDescent="0.2">
      <c r="B58" s="11">
        <v>43431</v>
      </c>
      <c r="C58" s="159" t="s">
        <v>166</v>
      </c>
      <c r="D58" s="231"/>
    </row>
    <row r="59" spans="1:4" x14ac:dyDescent="0.2">
      <c r="C59" s="159" t="s">
        <v>168</v>
      </c>
      <c r="D59" s="231"/>
    </row>
    <row r="60" spans="1:4" x14ac:dyDescent="0.2">
      <c r="A60" s="10" t="s">
        <v>244</v>
      </c>
      <c r="B60" s="11">
        <v>44391</v>
      </c>
      <c r="C60" s="159" t="s">
        <v>245</v>
      </c>
      <c r="D60" s="231" t="s">
        <v>246</v>
      </c>
    </row>
    <row r="61" spans="1:4" x14ac:dyDescent="0.2">
      <c r="A61"/>
      <c r="B61"/>
      <c r="C61" s="158" t="s">
        <v>247</v>
      </c>
      <c r="D61" s="232"/>
    </row>
    <row r="62" spans="1:4" x14ac:dyDescent="0.2">
      <c r="A62"/>
      <c r="B62"/>
      <c r="C62" s="158" t="s">
        <v>248</v>
      </c>
      <c r="D62" s="232"/>
    </row>
    <row r="63" spans="1:4" ht="30.75" customHeight="1" x14ac:dyDescent="0.2">
      <c r="A63"/>
      <c r="B63"/>
      <c r="C63" s="156" t="s">
        <v>249</v>
      </c>
      <c r="D63" s="232"/>
    </row>
    <row r="64" spans="1:4" ht="38.25" x14ac:dyDescent="0.2">
      <c r="B64" s="181">
        <v>44397</v>
      </c>
      <c r="C64" s="159" t="s">
        <v>240</v>
      </c>
      <c r="D64" s="233" t="s">
        <v>246</v>
      </c>
    </row>
    <row r="65" spans="1:4" x14ac:dyDescent="0.2">
      <c r="C65" s="159" t="s">
        <v>241</v>
      </c>
      <c r="D65" s="231"/>
    </row>
    <row r="66" spans="1:4" x14ac:dyDescent="0.2">
      <c r="C66" s="158" t="s">
        <v>250</v>
      </c>
      <c r="D66" s="231"/>
    </row>
    <row r="67" spans="1:4" x14ac:dyDescent="0.2">
      <c r="A67" s="10" t="s">
        <v>251</v>
      </c>
      <c r="B67" s="11">
        <v>44440</v>
      </c>
      <c r="C67" s="159" t="s">
        <v>252</v>
      </c>
      <c r="D67" s="231" t="s">
        <v>246</v>
      </c>
    </row>
    <row r="68" spans="1:4" x14ac:dyDescent="0.2">
      <c r="C68" s="158" t="s">
        <v>253</v>
      </c>
      <c r="D68" s="231"/>
    </row>
    <row r="69" spans="1:4" x14ac:dyDescent="0.2">
      <c r="A69" s="10" t="s">
        <v>254</v>
      </c>
      <c r="B69" s="181">
        <v>44470</v>
      </c>
      <c r="C69" s="158" t="s">
        <v>255</v>
      </c>
      <c r="D69" s="231" t="s">
        <v>246</v>
      </c>
    </row>
    <row r="70" spans="1:4" x14ac:dyDescent="0.2">
      <c r="C70" s="158" t="s">
        <v>256</v>
      </c>
      <c r="D70" s="231"/>
    </row>
    <row r="71" spans="1:4" ht="25.5" x14ac:dyDescent="0.2">
      <c r="C71" s="257" t="s">
        <v>258</v>
      </c>
      <c r="D71" s="231" t="s">
        <v>120</v>
      </c>
    </row>
    <row r="72" spans="1:4" ht="25.5" x14ac:dyDescent="0.2">
      <c r="C72" s="257" t="s">
        <v>259</v>
      </c>
      <c r="D72" s="231"/>
    </row>
    <row r="73" spans="1:4" ht="25.5" x14ac:dyDescent="0.2">
      <c r="C73" s="257" t="s">
        <v>264</v>
      </c>
      <c r="D73" s="231"/>
    </row>
    <row r="74" spans="1:4" ht="25.5" x14ac:dyDescent="0.2">
      <c r="C74" s="257" t="s">
        <v>265</v>
      </c>
      <c r="D74" s="231"/>
    </row>
    <row r="75" spans="1:4" ht="25.5" x14ac:dyDescent="0.2">
      <c r="C75" s="257" t="s">
        <v>269</v>
      </c>
      <c r="D75" s="231"/>
    </row>
    <row r="76" spans="1:4" ht="25.5" x14ac:dyDescent="0.2">
      <c r="C76" s="257" t="s">
        <v>266</v>
      </c>
      <c r="D76" s="231"/>
    </row>
    <row r="77" spans="1:4" ht="25.5" x14ac:dyDescent="0.2">
      <c r="C77" s="257" t="s">
        <v>272</v>
      </c>
      <c r="D77" s="231"/>
    </row>
    <row r="78" spans="1:4" ht="25.5" x14ac:dyDescent="0.2">
      <c r="C78" s="257" t="s">
        <v>267</v>
      </c>
      <c r="D78" s="231"/>
    </row>
    <row r="79" spans="1:4" ht="25.5" x14ac:dyDescent="0.2">
      <c r="C79" s="257" t="s">
        <v>268</v>
      </c>
      <c r="D79" s="231"/>
    </row>
    <row r="80" spans="1:4" ht="25.5" x14ac:dyDescent="0.2">
      <c r="C80" s="257" t="s">
        <v>270</v>
      </c>
      <c r="D80" s="231"/>
    </row>
    <row r="81" spans="1:4" ht="25.5" x14ac:dyDescent="0.2">
      <c r="C81" s="257" t="s">
        <v>271</v>
      </c>
      <c r="D81" s="231"/>
    </row>
    <row r="82" spans="1:4" x14ac:dyDescent="0.2">
      <c r="C82" s="158" t="s">
        <v>260</v>
      </c>
      <c r="D82" s="231"/>
    </row>
    <row r="83" spans="1:4" x14ac:dyDescent="0.2">
      <c r="C83" s="158" t="s">
        <v>261</v>
      </c>
      <c r="D83" s="231"/>
    </row>
    <row r="84" spans="1:4" x14ac:dyDescent="0.2">
      <c r="C84" s="158" t="s">
        <v>262</v>
      </c>
      <c r="D84" s="231"/>
    </row>
    <row r="85" spans="1:4" x14ac:dyDescent="0.2">
      <c r="C85" s="158" t="s">
        <v>263</v>
      </c>
      <c r="D85" s="231"/>
    </row>
    <row r="86" spans="1:4" x14ac:dyDescent="0.2">
      <c r="C86" s="158" t="s">
        <v>257</v>
      </c>
      <c r="D86" s="231"/>
    </row>
    <row r="87" spans="1:4" x14ac:dyDescent="0.2">
      <c r="A87" s="10" t="s">
        <v>273</v>
      </c>
      <c r="B87" s="11">
        <v>44915</v>
      </c>
      <c r="C87" s="12" t="s">
        <v>274</v>
      </c>
      <c r="D87" s="231"/>
    </row>
    <row r="88" spans="1:4" x14ac:dyDescent="0.2">
      <c r="C88" s="12"/>
      <c r="D88" s="231"/>
    </row>
    <row r="89" spans="1:4" x14ac:dyDescent="0.2">
      <c r="D89" s="231"/>
    </row>
    <row r="90" spans="1:4" x14ac:dyDescent="0.2">
      <c r="D90" s="231"/>
    </row>
    <row r="91" spans="1:4" x14ac:dyDescent="0.2">
      <c r="B91" s="181"/>
      <c r="D91" s="231"/>
    </row>
    <row r="92" spans="1:4" x14ac:dyDescent="0.2">
      <c r="D92" s="231"/>
    </row>
    <row r="93" spans="1:4" x14ac:dyDescent="0.2">
      <c r="D93" s="231"/>
    </row>
  </sheetData>
  <sheetProtection password="C597" sheet="1" objects="1" scenarios="1" selectLockedCells="1" selectUnlockedCells="1"/>
  <pageMargins left="0.70866141732283472" right="0.70866141732283472" top="0.78740157480314965" bottom="0.78740157480314965" header="0.31496062992125984" footer="0.31496062992125984"/>
  <pageSetup paperSize="9" orientation="landscape" r:id="rId1"/>
  <headerFooter>
    <oddHeader>&amp;C&amp;"Calibri,Fett"&amp;14Dokumentation Buchungsblatt Handkasse</oddHeader>
    <oddFooter>&amp;L&amp;"Calibri,Standard"&amp;7Stand: &amp;D&amp;C&amp;"Calibri,Standard"&amp;7Seite &amp;P von &amp;N&amp;R&amp;"Calibri,Standard"&amp;7Datei: &amp;F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dimension ref="A1:O286"/>
  <sheetViews>
    <sheetView zoomScale="90" zoomScaleNormal="90" workbookViewId="0">
      <pane ySplit="1" topLeftCell="A2" activePane="bottomLeft" state="frozen"/>
      <selection activeCell="C62" sqref="C62"/>
      <selection pane="bottomLeft" activeCell="C1" sqref="C1:K1048576"/>
    </sheetView>
  </sheetViews>
  <sheetFormatPr baseColWidth="10" defaultColWidth="11.42578125" defaultRowHeight="12.75" x14ac:dyDescent="0.2"/>
  <cols>
    <col min="1" max="1" width="9.140625" style="1" customWidth="1"/>
    <col min="2" max="2" width="41.42578125" style="2" bestFit="1" customWidth="1"/>
    <col min="3" max="3" width="24.5703125" style="2" hidden="1" customWidth="1"/>
    <col min="4" max="4" width="15.28515625" style="176" hidden="1" customWidth="1"/>
    <col min="5" max="5" width="14" style="177" hidden="1" customWidth="1"/>
    <col min="6" max="6" width="14" style="3" hidden="1" customWidth="1"/>
    <col min="7" max="11" width="29" style="175" hidden="1" customWidth="1"/>
    <col min="12" max="12" width="9.85546875" style="2" customWidth="1"/>
    <col min="13" max="13" width="7" style="2" customWidth="1"/>
    <col min="14" max="14" width="23.7109375" style="2" bestFit="1" customWidth="1"/>
    <col min="15" max="15" width="11.42578125" style="3"/>
    <col min="16" max="16384" width="11.42578125" style="2"/>
  </cols>
  <sheetData>
    <row r="1" spans="1:14" s="13" customFormat="1" ht="36" customHeight="1" x14ac:dyDescent="0.2">
      <c r="A1" s="13" t="s">
        <v>5</v>
      </c>
      <c r="B1" s="14" t="s">
        <v>12</v>
      </c>
      <c r="C1" s="15" t="s">
        <v>13</v>
      </c>
      <c r="D1" s="178" t="s">
        <v>151</v>
      </c>
      <c r="E1" s="13" t="s">
        <v>11</v>
      </c>
      <c r="F1" s="13" t="s">
        <v>162</v>
      </c>
      <c r="G1" s="28" t="s">
        <v>163</v>
      </c>
      <c r="H1" s="190" t="s">
        <v>158</v>
      </c>
      <c r="I1" s="13" t="s">
        <v>159</v>
      </c>
      <c r="J1" s="13" t="s">
        <v>160</v>
      </c>
      <c r="K1" s="15" t="s">
        <v>161</v>
      </c>
      <c r="L1" s="18" t="s">
        <v>4</v>
      </c>
      <c r="M1" s="16">
        <v>90003</v>
      </c>
      <c r="N1" s="17" t="s">
        <v>539</v>
      </c>
    </row>
    <row r="2" spans="1:14" x14ac:dyDescent="0.2">
      <c r="A2" s="252">
        <v>1</v>
      </c>
      <c r="B2" s="191" t="s">
        <v>275</v>
      </c>
      <c r="C2" s="2" t="str">
        <f t="shared" ref="C2:C65" si="0">MID(B2,5,100)</f>
        <v>RVV Rheinhessen</v>
      </c>
      <c r="D2" s="177" t="str">
        <f t="shared" ref="D2:D65" si="1">IF(LEN($A2)&lt;=4,LEFT(TEXT($A2,"0000"),4),LEFT(TEXT($A2,"000000"),4))</f>
        <v>0001</v>
      </c>
      <c r="E2" s="177" t="str">
        <f t="shared" ref="E2:E65" si="2">$M$1&amp;$D2</f>
        <v>900030001</v>
      </c>
      <c r="F2" s="179"/>
      <c r="G2" s="250"/>
    </row>
    <row r="3" spans="1:14" x14ac:dyDescent="0.2">
      <c r="A3" s="252">
        <v>202</v>
      </c>
      <c r="B3" s="260" t="s">
        <v>276</v>
      </c>
      <c r="C3" s="2" t="str">
        <f t="shared" si="0"/>
        <v>Kirchengemeinde Albig</v>
      </c>
      <c r="D3" s="177" t="str">
        <f t="shared" si="1"/>
        <v>0202</v>
      </c>
      <c r="E3" s="177" t="str">
        <f t="shared" si="2"/>
        <v>900030202</v>
      </c>
      <c r="F3" s="179">
        <v>900030298</v>
      </c>
      <c r="G3" s="260" t="s">
        <v>277</v>
      </c>
      <c r="H3" s="258"/>
      <c r="I3" s="258"/>
      <c r="J3" s="258"/>
      <c r="K3" s="258"/>
    </row>
    <row r="4" spans="1:14" x14ac:dyDescent="0.2">
      <c r="A4" s="252">
        <v>203</v>
      </c>
      <c r="B4" s="260" t="s">
        <v>278</v>
      </c>
      <c r="C4" s="2" t="str">
        <f t="shared" si="0"/>
        <v>Kirchengemeinde Alzey</v>
      </c>
      <c r="D4" s="177" t="str">
        <f t="shared" si="1"/>
        <v>0203</v>
      </c>
      <c r="E4" s="177" t="str">
        <f t="shared" si="2"/>
        <v>900030203</v>
      </c>
      <c r="F4" s="179">
        <v>900030298</v>
      </c>
      <c r="G4" s="260" t="s">
        <v>277</v>
      </c>
      <c r="H4" s="258"/>
      <c r="I4" s="258"/>
      <c r="J4" s="258"/>
      <c r="K4" s="258"/>
    </row>
    <row r="5" spans="1:14" x14ac:dyDescent="0.2">
      <c r="A5" s="252">
        <v>204</v>
      </c>
      <c r="B5" s="260" t="s">
        <v>279</v>
      </c>
      <c r="C5" s="2" t="str">
        <f t="shared" si="0"/>
        <v>Kirchengemeinde Armsheim</v>
      </c>
      <c r="D5" s="177" t="str">
        <f t="shared" si="1"/>
        <v>0204</v>
      </c>
      <c r="E5" s="177" t="str">
        <f t="shared" si="2"/>
        <v>900030204</v>
      </c>
      <c r="F5" s="179">
        <v>900030298</v>
      </c>
      <c r="G5" s="260" t="s">
        <v>277</v>
      </c>
      <c r="H5" s="258"/>
      <c r="I5" s="258"/>
      <c r="J5" s="258"/>
      <c r="K5" s="258"/>
    </row>
    <row r="6" spans="1:14" x14ac:dyDescent="0.2">
      <c r="A6" s="252">
        <v>205</v>
      </c>
      <c r="B6" s="260" t="s">
        <v>280</v>
      </c>
      <c r="C6" s="2" t="str">
        <f t="shared" si="0"/>
        <v>Kirchengemeinde Bechenheim</v>
      </c>
      <c r="D6" s="177" t="str">
        <f t="shared" si="1"/>
        <v>0205</v>
      </c>
      <c r="E6" s="177" t="str">
        <f t="shared" si="2"/>
        <v>900030205</v>
      </c>
      <c r="F6" s="179">
        <v>900030298</v>
      </c>
      <c r="G6" s="260" t="s">
        <v>277</v>
      </c>
      <c r="H6" s="258"/>
      <c r="I6" s="258"/>
      <c r="J6" s="258"/>
      <c r="K6" s="258"/>
    </row>
    <row r="7" spans="1:14" x14ac:dyDescent="0.2">
      <c r="A7" s="252">
        <v>206</v>
      </c>
      <c r="B7" s="251" t="s">
        <v>281</v>
      </c>
      <c r="C7" s="176" t="str">
        <f t="shared" si="0"/>
        <v>Kirchengemeinde Bechtolsheim</v>
      </c>
      <c r="D7" s="177" t="str">
        <f t="shared" si="1"/>
        <v>0206</v>
      </c>
      <c r="E7" s="177" t="str">
        <f t="shared" si="2"/>
        <v>900030206</v>
      </c>
      <c r="F7" s="252">
        <v>900030298</v>
      </c>
      <c r="G7" s="251" t="s">
        <v>277</v>
      </c>
      <c r="H7" s="258"/>
      <c r="I7" s="258"/>
      <c r="J7" s="258"/>
      <c r="K7" s="258"/>
    </row>
    <row r="8" spans="1:14" x14ac:dyDescent="0.2">
      <c r="A8" s="252">
        <v>207</v>
      </c>
      <c r="B8" s="260" t="s">
        <v>282</v>
      </c>
      <c r="C8" s="2" t="str">
        <f t="shared" si="0"/>
        <v>Kirchengemeinde Bermersheim v.d.H.</v>
      </c>
      <c r="D8" s="177" t="str">
        <f t="shared" si="1"/>
        <v>0207</v>
      </c>
      <c r="E8" s="177" t="str">
        <f t="shared" si="2"/>
        <v>900030207</v>
      </c>
      <c r="F8" s="179">
        <v>900030298</v>
      </c>
      <c r="G8" s="260" t="s">
        <v>277</v>
      </c>
      <c r="H8" s="258"/>
      <c r="I8" s="258"/>
      <c r="J8" s="258"/>
      <c r="K8" s="258"/>
    </row>
    <row r="9" spans="1:14" x14ac:dyDescent="0.2">
      <c r="A9" s="252">
        <v>208</v>
      </c>
      <c r="B9" s="260" t="s">
        <v>283</v>
      </c>
      <c r="C9" s="2" t="str">
        <f t="shared" si="0"/>
        <v>Kirchengemeinde Biebelnheim</v>
      </c>
      <c r="D9" s="177" t="str">
        <f t="shared" si="1"/>
        <v>0208</v>
      </c>
      <c r="E9" s="177" t="str">
        <f t="shared" si="2"/>
        <v>900030208</v>
      </c>
      <c r="F9" s="179">
        <v>900030298</v>
      </c>
      <c r="G9" s="260" t="s">
        <v>277</v>
      </c>
      <c r="H9" s="258"/>
      <c r="I9" s="258"/>
      <c r="J9" s="258"/>
      <c r="K9" s="258"/>
    </row>
    <row r="10" spans="1:14" x14ac:dyDescent="0.2">
      <c r="A10" s="252">
        <v>209</v>
      </c>
      <c r="B10" s="251" t="s">
        <v>284</v>
      </c>
      <c r="C10" s="176" t="str">
        <f t="shared" si="0"/>
        <v>Kirchengemeinde Hochborn</v>
      </c>
      <c r="D10" s="177" t="str">
        <f t="shared" si="1"/>
        <v>0209</v>
      </c>
      <c r="E10" s="177" t="str">
        <f t="shared" si="2"/>
        <v>900030209</v>
      </c>
      <c r="F10" s="252">
        <v>900030298</v>
      </c>
      <c r="G10" s="251" t="s">
        <v>277</v>
      </c>
      <c r="H10" s="258"/>
      <c r="I10" s="258"/>
      <c r="J10" s="258"/>
      <c r="K10" s="258"/>
    </row>
    <row r="11" spans="1:14" x14ac:dyDescent="0.2">
      <c r="A11" s="252">
        <v>210</v>
      </c>
      <c r="B11" s="260" t="s">
        <v>285</v>
      </c>
      <c r="C11" s="2" t="str">
        <f t="shared" si="0"/>
        <v>Kirchengemeinde Bornheim</v>
      </c>
      <c r="D11" s="177" t="str">
        <f t="shared" si="1"/>
        <v>0210</v>
      </c>
      <c r="E11" s="177" t="str">
        <f t="shared" si="2"/>
        <v>900030210</v>
      </c>
      <c r="F11" s="179">
        <v>900030298</v>
      </c>
      <c r="G11" s="260" t="s">
        <v>277</v>
      </c>
      <c r="H11" s="258"/>
      <c r="I11" s="258"/>
      <c r="J11" s="258"/>
      <c r="K11" s="258"/>
    </row>
    <row r="12" spans="1:14" x14ac:dyDescent="0.2">
      <c r="A12" s="252">
        <v>211</v>
      </c>
      <c r="B12" s="260" t="s">
        <v>286</v>
      </c>
      <c r="C12" s="2" t="str">
        <f t="shared" si="0"/>
        <v>Kirchengemeinde Dautenheim</v>
      </c>
      <c r="D12" s="177" t="str">
        <f t="shared" si="1"/>
        <v>0211</v>
      </c>
      <c r="E12" s="177" t="str">
        <f t="shared" si="2"/>
        <v>900030211</v>
      </c>
      <c r="F12" s="179">
        <v>900030298</v>
      </c>
      <c r="G12" s="260" t="s">
        <v>277</v>
      </c>
      <c r="H12" s="258"/>
      <c r="I12" s="258"/>
      <c r="J12" s="258"/>
      <c r="K12" s="258"/>
    </row>
    <row r="13" spans="1:14" x14ac:dyDescent="0.2">
      <c r="A13" s="252">
        <v>213</v>
      </c>
      <c r="B13" s="260" t="s">
        <v>287</v>
      </c>
      <c r="C13" s="2" t="str">
        <f t="shared" si="0"/>
        <v>Kirchengemeinde Ensheim</v>
      </c>
      <c r="D13" s="177" t="str">
        <f t="shared" si="1"/>
        <v>0213</v>
      </c>
      <c r="E13" s="177" t="str">
        <f t="shared" si="2"/>
        <v>900030213</v>
      </c>
      <c r="F13" s="179">
        <v>900030298</v>
      </c>
      <c r="G13" s="260" t="s">
        <v>277</v>
      </c>
      <c r="H13" s="258"/>
      <c r="I13" s="258"/>
      <c r="J13" s="258"/>
      <c r="K13" s="258"/>
    </row>
    <row r="14" spans="1:14" x14ac:dyDescent="0.2">
      <c r="A14" s="252">
        <v>214</v>
      </c>
      <c r="B14" s="260" t="s">
        <v>288</v>
      </c>
      <c r="C14" s="2" t="str">
        <f t="shared" si="0"/>
        <v>Kirchengemeinde Dintesheim-Eppelsheim</v>
      </c>
      <c r="D14" s="177" t="str">
        <f t="shared" si="1"/>
        <v>0214</v>
      </c>
      <c r="E14" s="177" t="str">
        <f t="shared" si="2"/>
        <v>900030214</v>
      </c>
      <c r="F14" s="179">
        <v>900030298</v>
      </c>
      <c r="G14" s="260" t="s">
        <v>277</v>
      </c>
      <c r="H14" s="258"/>
      <c r="I14" s="258"/>
      <c r="J14" s="258"/>
      <c r="K14" s="258"/>
    </row>
    <row r="15" spans="1:14" x14ac:dyDescent="0.2">
      <c r="A15" s="252">
        <v>215</v>
      </c>
      <c r="B15" s="260" t="s">
        <v>289</v>
      </c>
      <c r="C15" s="2" t="str">
        <f t="shared" si="0"/>
        <v>Kirchengemeinde Esselborn</v>
      </c>
      <c r="D15" s="177" t="str">
        <f t="shared" si="1"/>
        <v>0215</v>
      </c>
      <c r="E15" s="177" t="str">
        <f t="shared" si="2"/>
        <v>900030215</v>
      </c>
      <c r="F15" s="179">
        <v>900030298</v>
      </c>
      <c r="G15" s="260" t="s">
        <v>277</v>
      </c>
      <c r="H15" s="258"/>
      <c r="I15" s="258"/>
      <c r="J15" s="258"/>
      <c r="K15" s="258"/>
    </row>
    <row r="16" spans="1:14" x14ac:dyDescent="0.2">
      <c r="A16" s="252">
        <v>216</v>
      </c>
      <c r="B16" s="260" t="s">
        <v>290</v>
      </c>
      <c r="C16" s="2" t="str">
        <f t="shared" si="0"/>
        <v>Kirchengemeinde Flomborn</v>
      </c>
      <c r="D16" s="177" t="str">
        <f t="shared" si="1"/>
        <v>0216</v>
      </c>
      <c r="E16" s="177" t="str">
        <f t="shared" si="2"/>
        <v>900030216</v>
      </c>
      <c r="F16" s="179">
        <v>900030298</v>
      </c>
      <c r="G16" s="260" t="s">
        <v>277</v>
      </c>
      <c r="H16" s="258"/>
      <c r="I16" s="258"/>
      <c r="J16" s="258"/>
      <c r="K16" s="258"/>
    </row>
    <row r="17" spans="1:11" x14ac:dyDescent="0.2">
      <c r="A17" s="252">
        <v>217</v>
      </c>
      <c r="B17" s="260" t="s">
        <v>291</v>
      </c>
      <c r="C17" s="2" t="str">
        <f t="shared" si="0"/>
        <v>Kirchengemeinde Flonheim-Uffhofen</v>
      </c>
      <c r="D17" s="177" t="str">
        <f t="shared" si="1"/>
        <v>0217</v>
      </c>
      <c r="E17" s="177" t="str">
        <f t="shared" si="2"/>
        <v>900030217</v>
      </c>
      <c r="F17" s="179">
        <v>900030298</v>
      </c>
      <c r="G17" s="260" t="s">
        <v>277</v>
      </c>
      <c r="H17" s="258"/>
      <c r="I17" s="258"/>
      <c r="J17" s="258"/>
      <c r="K17" s="258"/>
    </row>
    <row r="18" spans="1:11" x14ac:dyDescent="0.2">
      <c r="A18" s="252">
        <v>218</v>
      </c>
      <c r="B18" s="260" t="s">
        <v>292</v>
      </c>
      <c r="C18" s="2" t="str">
        <f t="shared" si="0"/>
        <v>Kirchengemeinde Framersheim</v>
      </c>
      <c r="D18" s="177" t="str">
        <f t="shared" si="1"/>
        <v>0218</v>
      </c>
      <c r="E18" s="177" t="str">
        <f t="shared" si="2"/>
        <v>900030218</v>
      </c>
      <c r="F18" s="179">
        <v>900030298</v>
      </c>
      <c r="G18" s="260" t="s">
        <v>277</v>
      </c>
      <c r="H18" s="258"/>
      <c r="I18" s="258"/>
      <c r="J18" s="258"/>
      <c r="K18" s="258"/>
    </row>
    <row r="19" spans="1:11" x14ac:dyDescent="0.2">
      <c r="A19" s="252">
        <v>219</v>
      </c>
      <c r="B19" s="260" t="s">
        <v>293</v>
      </c>
      <c r="C19" s="2" t="str">
        <f t="shared" si="0"/>
        <v>Kirchengemeinde Freimersheim</v>
      </c>
      <c r="D19" s="177" t="str">
        <f t="shared" si="1"/>
        <v>0219</v>
      </c>
      <c r="E19" s="177" t="str">
        <f t="shared" si="2"/>
        <v>900030219</v>
      </c>
      <c r="F19" s="179">
        <v>900030298</v>
      </c>
      <c r="G19" s="260" t="s">
        <v>277</v>
      </c>
      <c r="H19" s="258"/>
      <c r="I19" s="258"/>
      <c r="J19" s="258"/>
      <c r="K19" s="258"/>
    </row>
    <row r="20" spans="1:11" x14ac:dyDescent="0.2">
      <c r="A20" s="252">
        <v>220</v>
      </c>
      <c r="B20" s="260" t="s">
        <v>294</v>
      </c>
      <c r="C20" s="2" t="str">
        <f t="shared" si="0"/>
        <v>Kirchengemeinde Gau-Heppenheim</v>
      </c>
      <c r="D20" s="177" t="str">
        <f t="shared" si="1"/>
        <v>0220</v>
      </c>
      <c r="E20" s="177" t="str">
        <f t="shared" si="2"/>
        <v>900030220</v>
      </c>
      <c r="F20" s="179">
        <v>900030298</v>
      </c>
      <c r="G20" s="260" t="s">
        <v>277</v>
      </c>
      <c r="H20" s="258"/>
      <c r="I20" s="258"/>
      <c r="J20" s="258"/>
      <c r="K20" s="258"/>
    </row>
    <row r="21" spans="1:11" x14ac:dyDescent="0.2">
      <c r="A21" s="252">
        <v>221</v>
      </c>
      <c r="B21" s="260" t="s">
        <v>295</v>
      </c>
      <c r="C21" s="2" t="str">
        <f t="shared" si="0"/>
        <v>Kirchengemeinde Gau-Köngernheim</v>
      </c>
      <c r="D21" s="177" t="str">
        <f t="shared" si="1"/>
        <v>0221</v>
      </c>
      <c r="E21" s="177" t="str">
        <f t="shared" si="2"/>
        <v>900030221</v>
      </c>
      <c r="F21" s="179">
        <v>900030298</v>
      </c>
      <c r="G21" s="260" t="s">
        <v>277</v>
      </c>
      <c r="H21" s="258"/>
      <c r="I21" s="258"/>
      <c r="J21" s="258"/>
      <c r="K21" s="258"/>
    </row>
    <row r="22" spans="1:11" x14ac:dyDescent="0.2">
      <c r="A22" s="252">
        <v>222</v>
      </c>
      <c r="B22" s="260" t="s">
        <v>296</v>
      </c>
      <c r="C22" s="2" t="str">
        <f t="shared" si="0"/>
        <v>Kirchengemeinde Gau-Odernheim</v>
      </c>
      <c r="D22" s="177" t="str">
        <f t="shared" si="1"/>
        <v>0222</v>
      </c>
      <c r="E22" s="177" t="str">
        <f t="shared" si="2"/>
        <v>900030222</v>
      </c>
      <c r="F22" s="179">
        <v>900030298</v>
      </c>
      <c r="G22" s="260" t="s">
        <v>277</v>
      </c>
      <c r="H22" s="258"/>
      <c r="I22" s="258"/>
      <c r="J22" s="258"/>
      <c r="K22" s="258"/>
    </row>
    <row r="23" spans="1:11" x14ac:dyDescent="0.2">
      <c r="A23" s="252">
        <v>223</v>
      </c>
      <c r="B23" s="260" t="s">
        <v>297</v>
      </c>
      <c r="C23" s="2" t="str">
        <f t="shared" si="0"/>
        <v>Kirchengemeinde Gundersheim</v>
      </c>
      <c r="D23" s="177" t="str">
        <f t="shared" si="1"/>
        <v>0223</v>
      </c>
      <c r="E23" s="177" t="str">
        <f t="shared" si="2"/>
        <v>900030223</v>
      </c>
      <c r="F23" s="179">
        <v>900030298</v>
      </c>
      <c r="G23" s="260" t="s">
        <v>277</v>
      </c>
      <c r="H23" s="258"/>
      <c r="I23" s="258"/>
      <c r="J23" s="258"/>
      <c r="K23" s="258"/>
    </row>
    <row r="24" spans="1:11" x14ac:dyDescent="0.2">
      <c r="A24" s="252">
        <v>224</v>
      </c>
      <c r="B24" s="251" t="s">
        <v>298</v>
      </c>
      <c r="C24" s="176" t="str">
        <f t="shared" si="0"/>
        <v>Kirchengemeinde Hangen-Weisheim</v>
      </c>
      <c r="D24" s="177" t="str">
        <f t="shared" si="1"/>
        <v>0224</v>
      </c>
      <c r="E24" s="177" t="str">
        <f t="shared" si="2"/>
        <v>900030224</v>
      </c>
      <c r="F24" s="252">
        <v>900030298</v>
      </c>
      <c r="G24" s="251" t="s">
        <v>277</v>
      </c>
      <c r="H24" s="258"/>
      <c r="I24" s="258"/>
      <c r="J24" s="258"/>
      <c r="K24" s="258"/>
    </row>
    <row r="25" spans="1:11" x14ac:dyDescent="0.2">
      <c r="A25" s="252">
        <v>225</v>
      </c>
      <c r="B25" s="260" t="s">
        <v>299</v>
      </c>
      <c r="C25" s="2" t="str">
        <f t="shared" si="0"/>
        <v>Kirchengemeinde Heimersheim</v>
      </c>
      <c r="D25" s="177" t="str">
        <f t="shared" si="1"/>
        <v>0225</v>
      </c>
      <c r="E25" s="177" t="str">
        <f t="shared" si="2"/>
        <v>900030225</v>
      </c>
      <c r="F25" s="179">
        <v>900030298</v>
      </c>
      <c r="G25" s="260" t="s">
        <v>277</v>
      </c>
      <c r="H25" s="258"/>
      <c r="I25" s="258"/>
      <c r="J25" s="258"/>
      <c r="K25" s="258"/>
    </row>
    <row r="26" spans="1:11" x14ac:dyDescent="0.2">
      <c r="A26" s="252">
        <v>226</v>
      </c>
      <c r="B26" s="260" t="s">
        <v>300</v>
      </c>
      <c r="C26" s="2" t="str">
        <f t="shared" si="0"/>
        <v>Kirchengemeinde Kettenheim</v>
      </c>
      <c r="D26" s="177" t="str">
        <f t="shared" si="1"/>
        <v>0226</v>
      </c>
      <c r="E26" s="177" t="str">
        <f t="shared" si="2"/>
        <v>900030226</v>
      </c>
      <c r="F26" s="179">
        <v>900030298</v>
      </c>
      <c r="G26" s="260" t="s">
        <v>277</v>
      </c>
      <c r="H26" s="258"/>
      <c r="I26" s="258"/>
      <c r="J26" s="258"/>
      <c r="K26" s="258"/>
    </row>
    <row r="27" spans="1:11" x14ac:dyDescent="0.2">
      <c r="A27" s="252">
        <v>227</v>
      </c>
      <c r="B27" s="260" t="s">
        <v>301</v>
      </c>
      <c r="C27" s="2" t="str">
        <f t="shared" si="0"/>
        <v>Kirchengemeinde Lonsheim</v>
      </c>
      <c r="D27" s="177" t="str">
        <f t="shared" si="1"/>
        <v>0227</v>
      </c>
      <c r="E27" s="177" t="str">
        <f t="shared" si="2"/>
        <v>900030227</v>
      </c>
      <c r="F27" s="179">
        <v>900030298</v>
      </c>
      <c r="G27" s="260" t="s">
        <v>277</v>
      </c>
      <c r="H27" s="258"/>
      <c r="I27" s="258"/>
      <c r="J27" s="258"/>
      <c r="K27" s="258"/>
    </row>
    <row r="28" spans="1:11" x14ac:dyDescent="0.2">
      <c r="A28" s="252">
        <v>228</v>
      </c>
      <c r="B28" s="260" t="s">
        <v>302</v>
      </c>
      <c r="C28" s="2" t="str">
        <f t="shared" si="0"/>
        <v>Kirchengemeinde Nieder-Wiesen</v>
      </c>
      <c r="D28" s="177" t="str">
        <f t="shared" si="1"/>
        <v>0228</v>
      </c>
      <c r="E28" s="177" t="str">
        <f t="shared" si="2"/>
        <v>900030228</v>
      </c>
      <c r="F28" s="179">
        <v>900030298</v>
      </c>
      <c r="G28" s="260" t="s">
        <v>277</v>
      </c>
      <c r="H28" s="258"/>
      <c r="I28" s="258"/>
      <c r="J28" s="258"/>
      <c r="K28" s="258"/>
    </row>
    <row r="29" spans="1:11" x14ac:dyDescent="0.2">
      <c r="A29" s="252">
        <v>229</v>
      </c>
      <c r="B29" s="260" t="s">
        <v>303</v>
      </c>
      <c r="C29" s="2" t="str">
        <f t="shared" si="0"/>
        <v>Kirchengemeinde Ober-Flörsheim</v>
      </c>
      <c r="D29" s="177" t="str">
        <f t="shared" si="1"/>
        <v>0229</v>
      </c>
      <c r="E29" s="177" t="str">
        <f t="shared" si="2"/>
        <v>900030229</v>
      </c>
      <c r="F29" s="179">
        <v>900030298</v>
      </c>
      <c r="G29" s="260" t="s">
        <v>277</v>
      </c>
      <c r="H29" s="258"/>
      <c r="I29" s="258"/>
      <c r="J29" s="258"/>
      <c r="K29" s="258"/>
    </row>
    <row r="30" spans="1:11" x14ac:dyDescent="0.2">
      <c r="A30" s="252">
        <v>230</v>
      </c>
      <c r="B30" s="260" t="s">
        <v>304</v>
      </c>
      <c r="C30" s="2" t="str">
        <f t="shared" si="0"/>
        <v>Kirchengemeinde Offenheim</v>
      </c>
      <c r="D30" s="177" t="str">
        <f t="shared" si="1"/>
        <v>0230</v>
      </c>
      <c r="E30" s="177" t="str">
        <f t="shared" si="2"/>
        <v>900030230</v>
      </c>
      <c r="F30" s="179">
        <v>900030298</v>
      </c>
      <c r="G30" s="260" t="s">
        <v>277</v>
      </c>
      <c r="H30" s="258"/>
      <c r="I30" s="258"/>
      <c r="J30" s="258"/>
      <c r="K30" s="258"/>
    </row>
    <row r="31" spans="1:11" x14ac:dyDescent="0.2">
      <c r="A31" s="252">
        <v>231</v>
      </c>
      <c r="B31" s="260" t="s">
        <v>305</v>
      </c>
      <c r="C31" s="2" t="str">
        <f t="shared" si="0"/>
        <v>Kirchengemeinde Spiesheim</v>
      </c>
      <c r="D31" s="177" t="str">
        <f t="shared" si="1"/>
        <v>0231</v>
      </c>
      <c r="E31" s="177" t="str">
        <f t="shared" si="2"/>
        <v>900030231</v>
      </c>
      <c r="F31" s="179">
        <v>900030298</v>
      </c>
      <c r="G31" s="260" t="s">
        <v>277</v>
      </c>
      <c r="H31" s="258"/>
      <c r="I31" s="258"/>
      <c r="J31" s="258"/>
      <c r="K31" s="258"/>
    </row>
    <row r="32" spans="1:11" x14ac:dyDescent="0.2">
      <c r="A32" s="252">
        <v>232</v>
      </c>
      <c r="B32" s="260" t="s">
        <v>306</v>
      </c>
      <c r="C32" s="2" t="str">
        <f t="shared" si="0"/>
        <v>Kirchengemeinde Wahlheim</v>
      </c>
      <c r="D32" s="177" t="str">
        <f t="shared" si="1"/>
        <v>0232</v>
      </c>
      <c r="E32" s="177" t="str">
        <f t="shared" si="2"/>
        <v>900030232</v>
      </c>
      <c r="F32" s="179">
        <v>900030298</v>
      </c>
      <c r="G32" s="260" t="s">
        <v>277</v>
      </c>
      <c r="H32" s="258"/>
      <c r="I32" s="258"/>
      <c r="J32" s="258"/>
      <c r="K32" s="258"/>
    </row>
    <row r="33" spans="1:11" x14ac:dyDescent="0.2">
      <c r="A33" s="252">
        <v>233</v>
      </c>
      <c r="B33" s="260" t="s">
        <v>307</v>
      </c>
      <c r="C33" s="2" t="str">
        <f t="shared" si="0"/>
        <v>Kirchengemeinde Weinheim</v>
      </c>
      <c r="D33" s="177" t="str">
        <f t="shared" si="1"/>
        <v>0233</v>
      </c>
      <c r="E33" s="177" t="str">
        <f t="shared" si="2"/>
        <v>900030233</v>
      </c>
      <c r="F33" s="179">
        <v>900030298</v>
      </c>
      <c r="G33" s="260" t="s">
        <v>277</v>
      </c>
      <c r="H33" s="258"/>
      <c r="I33" s="258"/>
      <c r="J33" s="258"/>
      <c r="K33" s="258"/>
    </row>
    <row r="34" spans="1:11" x14ac:dyDescent="0.2">
      <c r="A34" s="252">
        <v>234</v>
      </c>
      <c r="B34" s="260" t="s">
        <v>308</v>
      </c>
      <c r="C34" s="2" t="str">
        <f t="shared" si="0"/>
        <v>Kirchengemeinde Erbes-Büdesheim</v>
      </c>
      <c r="D34" s="177" t="str">
        <f t="shared" si="1"/>
        <v>0234</v>
      </c>
      <c r="E34" s="177" t="str">
        <f t="shared" si="2"/>
        <v>900030234</v>
      </c>
      <c r="F34" s="179">
        <v>900030298</v>
      </c>
      <c r="G34" s="260" t="s">
        <v>277</v>
      </c>
      <c r="H34" s="258"/>
      <c r="I34" s="258"/>
      <c r="J34" s="258"/>
      <c r="K34" s="258"/>
    </row>
    <row r="35" spans="1:11" x14ac:dyDescent="0.2">
      <c r="A35" s="252">
        <v>235</v>
      </c>
      <c r="B35" s="260" t="s">
        <v>309</v>
      </c>
      <c r="C35" s="2" t="str">
        <f t="shared" si="0"/>
        <v>Kirchengemeinde Nack</v>
      </c>
      <c r="D35" s="177" t="str">
        <f t="shared" si="1"/>
        <v>0235</v>
      </c>
      <c r="E35" s="177" t="str">
        <f t="shared" si="2"/>
        <v>900030235</v>
      </c>
      <c r="F35" s="179">
        <v>900030298</v>
      </c>
      <c r="G35" s="260" t="s">
        <v>277</v>
      </c>
      <c r="H35" s="258"/>
      <c r="I35" s="258"/>
      <c r="J35" s="258"/>
      <c r="K35" s="258"/>
    </row>
    <row r="36" spans="1:11" x14ac:dyDescent="0.2">
      <c r="A36" s="252">
        <v>236</v>
      </c>
      <c r="B36" s="260" t="s">
        <v>310</v>
      </c>
      <c r="C36" s="2" t="str">
        <f t="shared" si="0"/>
        <v>Kirchengemeinde Schornsheim</v>
      </c>
      <c r="D36" s="177" t="str">
        <f t="shared" si="1"/>
        <v>0236</v>
      </c>
      <c r="E36" s="177" t="str">
        <f t="shared" si="2"/>
        <v>900030236</v>
      </c>
      <c r="F36" s="179">
        <v>900030298</v>
      </c>
      <c r="G36" s="260" t="s">
        <v>277</v>
      </c>
      <c r="H36" s="258"/>
      <c r="I36" s="258"/>
      <c r="J36" s="258"/>
      <c r="K36" s="258"/>
    </row>
    <row r="37" spans="1:11" x14ac:dyDescent="0.2">
      <c r="A37" s="252">
        <v>237</v>
      </c>
      <c r="B37" s="260" t="s">
        <v>311</v>
      </c>
      <c r="C37" s="2" t="str">
        <f t="shared" si="0"/>
        <v>Kirchengemeinde Udenheim</v>
      </c>
      <c r="D37" s="177" t="str">
        <f t="shared" si="1"/>
        <v>0237</v>
      </c>
      <c r="E37" s="177" t="str">
        <f t="shared" si="2"/>
        <v>900030237</v>
      </c>
      <c r="F37" s="179">
        <v>900030298</v>
      </c>
      <c r="G37" s="260" t="s">
        <v>277</v>
      </c>
      <c r="H37" s="258"/>
      <c r="I37" s="258"/>
      <c r="J37" s="258"/>
      <c r="K37" s="258"/>
    </row>
    <row r="38" spans="1:11" x14ac:dyDescent="0.2">
      <c r="A38" s="252">
        <v>298</v>
      </c>
      <c r="B38" s="253" t="s">
        <v>312</v>
      </c>
      <c r="C38" s="176" t="str">
        <f t="shared" si="0"/>
        <v>Dekanat Alzey-Wöllstein</v>
      </c>
      <c r="D38" s="177" t="str">
        <f t="shared" si="1"/>
        <v>0298</v>
      </c>
      <c r="E38" s="177" t="str">
        <f t="shared" si="2"/>
        <v>900030298</v>
      </c>
      <c r="F38" s="252">
        <v>900030298</v>
      </c>
      <c r="G38" s="251" t="s">
        <v>277</v>
      </c>
      <c r="H38" s="258"/>
      <c r="I38" s="258"/>
      <c r="J38" s="258"/>
      <c r="K38" s="258"/>
    </row>
    <row r="39" spans="1:11" x14ac:dyDescent="0.2">
      <c r="A39" s="252">
        <v>1098</v>
      </c>
      <c r="B39" s="191" t="s">
        <v>313</v>
      </c>
      <c r="C39" s="2" t="str">
        <f t="shared" si="0"/>
        <v>Dekanat Ingelheim und Oppenheim</v>
      </c>
      <c r="D39" s="177" t="str">
        <f t="shared" si="1"/>
        <v>1098</v>
      </c>
      <c r="E39" s="177" t="str">
        <f t="shared" si="2"/>
        <v>900031098</v>
      </c>
      <c r="F39" s="3">
        <v>900031098</v>
      </c>
      <c r="G39" s="260" t="s">
        <v>314</v>
      </c>
      <c r="H39" s="258"/>
      <c r="I39" s="258"/>
      <c r="J39" s="258"/>
      <c r="K39" s="258"/>
    </row>
    <row r="40" spans="1:11" x14ac:dyDescent="0.2">
      <c r="A40" s="252">
        <v>3402</v>
      </c>
      <c r="B40" s="260" t="s">
        <v>315</v>
      </c>
      <c r="C40" s="2" t="str">
        <f t="shared" si="0"/>
        <v>Kirchengemeinde Appenheim</v>
      </c>
      <c r="D40" s="177" t="str">
        <f t="shared" si="1"/>
        <v>3402</v>
      </c>
      <c r="E40" s="177" t="str">
        <f t="shared" si="2"/>
        <v>900033402</v>
      </c>
      <c r="F40" s="3">
        <v>900031098</v>
      </c>
      <c r="G40" s="260" t="s">
        <v>314</v>
      </c>
      <c r="H40" s="258"/>
      <c r="I40" s="258"/>
      <c r="J40" s="258"/>
      <c r="K40" s="258"/>
    </row>
    <row r="41" spans="1:11" x14ac:dyDescent="0.2">
      <c r="A41" s="252">
        <v>3403</v>
      </c>
      <c r="B41" s="260" t="s">
        <v>316</v>
      </c>
      <c r="C41" s="2" t="str">
        <f t="shared" si="0"/>
        <v>Kirchengemeinde Bingen, Johanneskirchengemeinde</v>
      </c>
      <c r="D41" s="177" t="str">
        <f t="shared" si="1"/>
        <v>3403</v>
      </c>
      <c r="E41" s="177" t="str">
        <f t="shared" si="2"/>
        <v>900033403</v>
      </c>
      <c r="F41" s="3">
        <v>900031098</v>
      </c>
      <c r="G41" s="260" t="s">
        <v>314</v>
      </c>
      <c r="H41" s="258"/>
      <c r="I41" s="258"/>
      <c r="J41" s="258"/>
      <c r="K41" s="258"/>
    </row>
    <row r="42" spans="1:11" x14ac:dyDescent="0.2">
      <c r="A42" s="252">
        <v>3404</v>
      </c>
      <c r="B42" s="260" t="s">
        <v>317</v>
      </c>
      <c r="C42" s="2" t="str">
        <f t="shared" si="0"/>
        <v>Kirchengemeinde Bingen, Christuskirchengemeinde</v>
      </c>
      <c r="D42" s="177" t="str">
        <f t="shared" si="1"/>
        <v>3404</v>
      </c>
      <c r="E42" s="177" t="str">
        <f t="shared" si="2"/>
        <v>900033404</v>
      </c>
      <c r="F42" s="3">
        <v>900031098</v>
      </c>
      <c r="G42" s="260" t="s">
        <v>314</v>
      </c>
      <c r="H42" s="258"/>
      <c r="I42" s="258"/>
      <c r="J42" s="258"/>
      <c r="K42" s="258"/>
    </row>
    <row r="43" spans="1:11" x14ac:dyDescent="0.2">
      <c r="A43" s="252">
        <v>3405</v>
      </c>
      <c r="B43" s="260" t="s">
        <v>318</v>
      </c>
      <c r="C43" s="2" t="str">
        <f t="shared" si="0"/>
        <v>Kirchengemeinde Bubenheim</v>
      </c>
      <c r="D43" s="177" t="str">
        <f t="shared" si="1"/>
        <v>3405</v>
      </c>
      <c r="E43" s="177" t="str">
        <f t="shared" si="2"/>
        <v>900033405</v>
      </c>
      <c r="F43" s="3">
        <v>900031098</v>
      </c>
      <c r="G43" s="260" t="s">
        <v>314</v>
      </c>
      <c r="H43" s="258"/>
      <c r="I43" s="258"/>
      <c r="J43" s="258"/>
      <c r="K43" s="258"/>
    </row>
    <row r="44" spans="1:11" x14ac:dyDescent="0.2">
      <c r="A44" s="252">
        <v>3406</v>
      </c>
      <c r="B44" s="260" t="s">
        <v>319</v>
      </c>
      <c r="C44" s="2" t="str">
        <f t="shared" si="0"/>
        <v>Kirchengemeinde Essenheim/Mauritiusgem.</v>
      </c>
      <c r="D44" s="177" t="str">
        <f t="shared" si="1"/>
        <v>3406</v>
      </c>
      <c r="E44" s="177" t="str">
        <f t="shared" si="2"/>
        <v>900033406</v>
      </c>
      <c r="F44" s="3">
        <v>900031098</v>
      </c>
      <c r="G44" s="260" t="s">
        <v>314</v>
      </c>
      <c r="H44" s="258"/>
      <c r="I44" s="258"/>
      <c r="J44" s="258"/>
      <c r="K44" s="258"/>
    </row>
    <row r="45" spans="1:11" x14ac:dyDescent="0.2">
      <c r="A45" s="252">
        <v>3407</v>
      </c>
      <c r="B45" s="260" t="s">
        <v>320</v>
      </c>
      <c r="C45" s="2" t="str">
        <f t="shared" si="0"/>
        <v>Kirchengemeinde Engelstadt</v>
      </c>
      <c r="D45" s="177" t="str">
        <f t="shared" si="1"/>
        <v>3407</v>
      </c>
      <c r="E45" s="177" t="str">
        <f t="shared" si="2"/>
        <v>900033407</v>
      </c>
      <c r="F45" s="3">
        <v>900031098</v>
      </c>
      <c r="G45" s="260" t="s">
        <v>314</v>
      </c>
      <c r="H45" s="258"/>
      <c r="I45" s="258"/>
      <c r="J45" s="258"/>
      <c r="K45" s="258"/>
    </row>
    <row r="46" spans="1:11" x14ac:dyDescent="0.2">
      <c r="A46" s="252">
        <v>3408</v>
      </c>
      <c r="B46" s="260" t="s">
        <v>321</v>
      </c>
      <c r="C46" s="2" t="str">
        <f t="shared" si="0"/>
        <v>Kirchengemeinde Gau-Algesheim</v>
      </c>
      <c r="D46" s="177" t="str">
        <f t="shared" si="1"/>
        <v>3408</v>
      </c>
      <c r="E46" s="177" t="str">
        <f t="shared" si="2"/>
        <v>900033408</v>
      </c>
      <c r="F46" s="3">
        <v>900031098</v>
      </c>
      <c r="G46" s="260" t="s">
        <v>314</v>
      </c>
      <c r="H46" s="258"/>
      <c r="I46" s="258"/>
      <c r="J46" s="258"/>
      <c r="K46" s="258"/>
    </row>
    <row r="47" spans="1:11" x14ac:dyDescent="0.2">
      <c r="A47" s="252">
        <v>3409</v>
      </c>
      <c r="B47" s="260" t="s">
        <v>322</v>
      </c>
      <c r="C47" s="2" t="str">
        <f t="shared" si="0"/>
        <v>Kirchengemeinde Gensingen-Grolsheim</v>
      </c>
      <c r="D47" s="177" t="str">
        <f t="shared" si="1"/>
        <v>3409</v>
      </c>
      <c r="E47" s="177" t="str">
        <f t="shared" si="2"/>
        <v>900033409</v>
      </c>
      <c r="F47" s="3">
        <v>900031098</v>
      </c>
      <c r="G47" s="260" t="s">
        <v>314</v>
      </c>
      <c r="H47" s="258"/>
      <c r="I47" s="258"/>
      <c r="J47" s="258"/>
      <c r="K47" s="258"/>
    </row>
    <row r="48" spans="1:11" x14ac:dyDescent="0.2">
      <c r="A48" s="252">
        <v>3411</v>
      </c>
      <c r="B48" s="260" t="s">
        <v>323</v>
      </c>
      <c r="C48" s="2" t="str">
        <f t="shared" si="0"/>
        <v>Kirchengemeinde Groß-Winternheim/ Schwabenheim</v>
      </c>
      <c r="D48" s="177" t="str">
        <f t="shared" si="1"/>
        <v>3411</v>
      </c>
      <c r="E48" s="177" t="str">
        <f t="shared" si="2"/>
        <v>900033411</v>
      </c>
      <c r="F48" s="3">
        <v>900031098</v>
      </c>
      <c r="G48" s="260" t="s">
        <v>314</v>
      </c>
      <c r="H48" s="258"/>
      <c r="I48" s="258"/>
      <c r="J48" s="258"/>
      <c r="K48" s="258"/>
    </row>
    <row r="49" spans="1:11" x14ac:dyDescent="0.2">
      <c r="A49" s="252">
        <v>3412</v>
      </c>
      <c r="B49" s="260" t="s">
        <v>324</v>
      </c>
      <c r="C49" s="2" t="str">
        <f t="shared" si="0"/>
        <v>Kirchengemeinde Heidesheim</v>
      </c>
      <c r="D49" s="177" t="str">
        <f t="shared" si="1"/>
        <v>3412</v>
      </c>
      <c r="E49" s="177" t="str">
        <f t="shared" si="2"/>
        <v>900033412</v>
      </c>
      <c r="F49" s="3">
        <v>900031098</v>
      </c>
      <c r="G49" s="260" t="s">
        <v>314</v>
      </c>
      <c r="H49" s="258"/>
      <c r="I49" s="258"/>
      <c r="J49" s="258"/>
      <c r="K49" s="258"/>
    </row>
    <row r="50" spans="1:11" x14ac:dyDescent="0.2">
      <c r="A50" s="252">
        <v>3413</v>
      </c>
      <c r="B50" s="260" t="s">
        <v>325</v>
      </c>
      <c r="C50" s="2" t="str">
        <f t="shared" si="0"/>
        <v>Kirchengemeinde Horrweiler/ Aspisheim</v>
      </c>
      <c r="D50" s="177" t="str">
        <f t="shared" si="1"/>
        <v>3413</v>
      </c>
      <c r="E50" s="177" t="str">
        <f t="shared" si="2"/>
        <v>900033413</v>
      </c>
      <c r="F50" s="3">
        <v>900031098</v>
      </c>
      <c r="G50" s="260" t="s">
        <v>314</v>
      </c>
      <c r="H50" s="258"/>
      <c r="I50" s="258"/>
      <c r="J50" s="258"/>
      <c r="K50" s="258"/>
    </row>
    <row r="51" spans="1:11" x14ac:dyDescent="0.2">
      <c r="A51" s="252">
        <v>3414</v>
      </c>
      <c r="B51" s="260" t="s">
        <v>326</v>
      </c>
      <c r="C51" s="2" t="str">
        <f t="shared" si="0"/>
        <v>Kirchengemeinde Ingelheim,Burgkirchengemeinde</v>
      </c>
      <c r="D51" s="177" t="str">
        <f t="shared" si="1"/>
        <v>3414</v>
      </c>
      <c r="E51" s="177" t="str">
        <f t="shared" si="2"/>
        <v>900033414</v>
      </c>
      <c r="F51" s="3">
        <v>900031098</v>
      </c>
      <c r="G51" s="260" t="s">
        <v>314</v>
      </c>
      <c r="H51" s="258"/>
      <c r="I51" s="258"/>
      <c r="J51" s="258"/>
      <c r="K51" s="258"/>
    </row>
    <row r="52" spans="1:11" x14ac:dyDescent="0.2">
      <c r="A52" s="252">
        <v>3415</v>
      </c>
      <c r="B52" s="260" t="s">
        <v>327</v>
      </c>
      <c r="C52" s="2" t="str">
        <f t="shared" si="0"/>
        <v>Kirchengemeinde Ingelheim, Saalkirchengemeinde</v>
      </c>
      <c r="D52" s="177" t="str">
        <f t="shared" si="1"/>
        <v>3415</v>
      </c>
      <c r="E52" s="177" t="str">
        <f t="shared" si="2"/>
        <v>900033415</v>
      </c>
      <c r="F52" s="3">
        <v>900031098</v>
      </c>
      <c r="G52" s="260" t="s">
        <v>314</v>
      </c>
      <c r="H52" s="258"/>
      <c r="I52" s="258"/>
      <c r="J52" s="258"/>
      <c r="K52" s="258"/>
    </row>
    <row r="53" spans="1:11" x14ac:dyDescent="0.2">
      <c r="A53" s="252">
        <v>3416</v>
      </c>
      <c r="B53" s="260" t="s">
        <v>328</v>
      </c>
      <c r="C53" s="2" t="str">
        <f t="shared" si="0"/>
        <v>Kirchengemeinde Ingelheim, Versöhnungsgemeinde</v>
      </c>
      <c r="D53" s="177" t="str">
        <f t="shared" si="1"/>
        <v>3416</v>
      </c>
      <c r="E53" s="177" t="str">
        <f t="shared" si="2"/>
        <v>900033416</v>
      </c>
      <c r="F53" s="3">
        <v>900031098</v>
      </c>
      <c r="G53" s="260" t="s">
        <v>314</v>
      </c>
      <c r="H53" s="258"/>
      <c r="I53" s="258"/>
      <c r="J53" s="258"/>
      <c r="K53" s="258"/>
    </row>
    <row r="54" spans="1:11" x14ac:dyDescent="0.2">
      <c r="A54" s="252">
        <v>3417</v>
      </c>
      <c r="B54" s="260" t="s">
        <v>329</v>
      </c>
      <c r="C54" s="2" t="str">
        <f t="shared" si="0"/>
        <v>Kirchengemeinde Jugenheim</v>
      </c>
      <c r="D54" s="177" t="str">
        <f t="shared" si="1"/>
        <v>3417</v>
      </c>
      <c r="E54" s="177" t="str">
        <f t="shared" si="2"/>
        <v>900033417</v>
      </c>
      <c r="F54" s="3">
        <v>900031098</v>
      </c>
      <c r="G54" s="260" t="s">
        <v>314</v>
      </c>
      <c r="H54" s="258"/>
      <c r="I54" s="258"/>
      <c r="J54" s="258"/>
      <c r="K54" s="258"/>
    </row>
    <row r="55" spans="1:11" x14ac:dyDescent="0.2">
      <c r="A55" s="252">
        <v>3418</v>
      </c>
      <c r="B55" s="260" t="s">
        <v>330</v>
      </c>
      <c r="C55" s="2" t="str">
        <f t="shared" si="0"/>
        <v>Kirchengemeinde Nieder-Hilbersheim</v>
      </c>
      <c r="D55" s="177" t="str">
        <f t="shared" si="1"/>
        <v>3418</v>
      </c>
      <c r="E55" s="177" t="str">
        <f t="shared" si="2"/>
        <v>900033418</v>
      </c>
      <c r="F55" s="3">
        <v>900031098</v>
      </c>
      <c r="G55" s="260" t="s">
        <v>314</v>
      </c>
      <c r="H55" s="258"/>
      <c r="I55" s="258"/>
      <c r="J55" s="258"/>
      <c r="K55" s="258"/>
    </row>
    <row r="56" spans="1:11" x14ac:dyDescent="0.2">
      <c r="A56" s="252">
        <v>3419</v>
      </c>
      <c r="B56" s="260" t="s">
        <v>331</v>
      </c>
      <c r="C56" s="2" t="str">
        <f t="shared" si="0"/>
        <v>Kirchengemeinde Partenheim</v>
      </c>
      <c r="D56" s="177" t="str">
        <f t="shared" si="1"/>
        <v>3419</v>
      </c>
      <c r="E56" s="177" t="str">
        <f t="shared" si="2"/>
        <v>900033419</v>
      </c>
      <c r="F56" s="3">
        <v>900031098</v>
      </c>
      <c r="G56" s="260" t="s">
        <v>314</v>
      </c>
      <c r="H56" s="258"/>
      <c r="I56" s="258"/>
      <c r="J56" s="258"/>
      <c r="K56" s="258"/>
    </row>
    <row r="57" spans="1:11" x14ac:dyDescent="0.2">
      <c r="A57" s="252">
        <v>3421</v>
      </c>
      <c r="B57" s="260" t="s">
        <v>332</v>
      </c>
      <c r="C57" s="2" t="str">
        <f t="shared" si="0"/>
        <v>Kirchengemeinde Stadecken-Elsheim</v>
      </c>
      <c r="D57" s="177" t="str">
        <f t="shared" si="1"/>
        <v>3421</v>
      </c>
      <c r="E57" s="177" t="str">
        <f t="shared" si="2"/>
        <v>900033421</v>
      </c>
      <c r="F57" s="3">
        <v>900031098</v>
      </c>
      <c r="G57" s="260" t="s">
        <v>314</v>
      </c>
      <c r="H57" s="258"/>
      <c r="I57" s="258"/>
      <c r="J57" s="258"/>
      <c r="K57" s="258"/>
    </row>
    <row r="58" spans="1:11" x14ac:dyDescent="0.2">
      <c r="A58" s="252">
        <v>3422</v>
      </c>
      <c r="B58" s="260" t="s">
        <v>333</v>
      </c>
      <c r="C58" s="2" t="str">
        <f t="shared" si="0"/>
        <v>Kirchengemeinde Vendersheim</v>
      </c>
      <c r="D58" s="177" t="str">
        <f t="shared" si="1"/>
        <v>3422</v>
      </c>
      <c r="E58" s="177" t="str">
        <f t="shared" si="2"/>
        <v>900033422</v>
      </c>
      <c r="F58" s="3">
        <v>900031098</v>
      </c>
      <c r="G58" s="260" t="s">
        <v>314</v>
      </c>
      <c r="H58" s="258"/>
      <c r="I58" s="258"/>
      <c r="J58" s="258"/>
      <c r="K58" s="258"/>
    </row>
    <row r="59" spans="1:11" x14ac:dyDescent="0.2">
      <c r="A59" s="252">
        <v>3423</v>
      </c>
      <c r="B59" s="260" t="s">
        <v>334</v>
      </c>
      <c r="C59" s="2" t="str">
        <f t="shared" si="0"/>
        <v>Kirchengemeinde Wackernheim</v>
      </c>
      <c r="D59" s="177" t="str">
        <f t="shared" si="1"/>
        <v>3423</v>
      </c>
      <c r="E59" s="177" t="str">
        <f t="shared" si="2"/>
        <v>900033423</v>
      </c>
      <c r="F59" s="3">
        <v>900031098</v>
      </c>
      <c r="G59" s="260" t="s">
        <v>314</v>
      </c>
      <c r="H59" s="258"/>
      <c r="I59" s="258"/>
      <c r="J59" s="258"/>
      <c r="K59" s="258"/>
    </row>
    <row r="60" spans="1:11" x14ac:dyDescent="0.2">
      <c r="A60" s="252">
        <v>3424</v>
      </c>
      <c r="B60" s="260" t="s">
        <v>335</v>
      </c>
      <c r="C60" s="2" t="str">
        <f t="shared" si="0"/>
        <v>Kirchengemeinde Ingelheim, Gustav-Adolf-Kircheng.</v>
      </c>
      <c r="D60" s="177" t="str">
        <f t="shared" si="1"/>
        <v>3424</v>
      </c>
      <c r="E60" s="177" t="str">
        <f t="shared" si="2"/>
        <v>900033424</v>
      </c>
      <c r="F60" s="3">
        <v>900031098</v>
      </c>
      <c r="G60" s="260" t="s">
        <v>314</v>
      </c>
      <c r="H60" s="258"/>
      <c r="I60" s="258"/>
      <c r="J60" s="258"/>
      <c r="K60" s="258"/>
    </row>
    <row r="61" spans="1:11" x14ac:dyDescent="0.2">
      <c r="A61" s="252">
        <v>3425</v>
      </c>
      <c r="B61" s="260" t="s">
        <v>336</v>
      </c>
      <c r="C61" s="2" t="str">
        <f t="shared" si="0"/>
        <v>Kirchengemeinde Ober-Hilbersheim</v>
      </c>
      <c r="D61" s="177" t="str">
        <f t="shared" si="1"/>
        <v>3425</v>
      </c>
      <c r="E61" s="177" t="str">
        <f t="shared" si="2"/>
        <v>900033425</v>
      </c>
      <c r="F61" s="3">
        <v>900031098</v>
      </c>
      <c r="G61" s="260" t="s">
        <v>314</v>
      </c>
      <c r="H61" s="258"/>
      <c r="I61" s="258"/>
      <c r="J61" s="258"/>
      <c r="K61" s="258"/>
    </row>
    <row r="62" spans="1:11" x14ac:dyDescent="0.2">
      <c r="A62" s="252">
        <v>3427</v>
      </c>
      <c r="B62" s="260" t="s">
        <v>337</v>
      </c>
      <c r="C62" s="2" t="str">
        <f t="shared" si="0"/>
        <v>Kirchengemeinde Nieder-Olm</v>
      </c>
      <c r="D62" s="177" t="str">
        <f t="shared" si="1"/>
        <v>3427</v>
      </c>
      <c r="E62" s="177" t="str">
        <f t="shared" si="2"/>
        <v>900033427</v>
      </c>
      <c r="F62" s="3">
        <v>900031098</v>
      </c>
      <c r="G62" s="260" t="s">
        <v>314</v>
      </c>
      <c r="H62" s="258"/>
      <c r="I62" s="258"/>
      <c r="J62" s="258"/>
      <c r="K62" s="258"/>
    </row>
    <row r="63" spans="1:11" x14ac:dyDescent="0.2">
      <c r="A63" s="252">
        <v>3802</v>
      </c>
      <c r="B63" s="260" t="s">
        <v>338</v>
      </c>
      <c r="C63" s="2" t="str">
        <f t="shared" si="0"/>
        <v xml:space="preserve">Kirchengemeinde Budenheim </v>
      </c>
      <c r="D63" s="177" t="str">
        <f t="shared" si="1"/>
        <v>3802</v>
      </c>
      <c r="E63" s="177" t="str">
        <f t="shared" si="2"/>
        <v>900033802</v>
      </c>
      <c r="F63" s="3">
        <v>900033898</v>
      </c>
      <c r="G63" s="261" t="s">
        <v>339</v>
      </c>
      <c r="H63" s="258"/>
      <c r="I63" s="258"/>
      <c r="J63" s="258"/>
      <c r="K63" s="258"/>
    </row>
    <row r="64" spans="1:11" x14ac:dyDescent="0.2">
      <c r="A64" s="252">
        <v>3804</v>
      </c>
      <c r="B64" s="260" t="s">
        <v>340</v>
      </c>
      <c r="C64" s="2" t="str">
        <f t="shared" si="0"/>
        <v>Kirchengemeinde MZ Finthen</v>
      </c>
      <c r="D64" s="177" t="str">
        <f t="shared" si="1"/>
        <v>3804</v>
      </c>
      <c r="E64" s="177" t="str">
        <f t="shared" si="2"/>
        <v>900033804</v>
      </c>
      <c r="F64" s="3">
        <v>900033898</v>
      </c>
      <c r="G64" s="261" t="s">
        <v>339</v>
      </c>
      <c r="H64" s="258"/>
      <c r="I64" s="258"/>
      <c r="J64" s="258"/>
      <c r="K64" s="258"/>
    </row>
    <row r="65" spans="1:11" x14ac:dyDescent="0.2">
      <c r="A65" s="252">
        <v>3805</v>
      </c>
      <c r="B65" s="260" t="s">
        <v>341</v>
      </c>
      <c r="C65" s="2" t="str">
        <f t="shared" si="0"/>
        <v>Kirchengemeinde MZ-Hechtsheim</v>
      </c>
      <c r="D65" s="177" t="str">
        <f t="shared" si="1"/>
        <v>3805</v>
      </c>
      <c r="E65" s="177" t="str">
        <f t="shared" si="2"/>
        <v>900033805</v>
      </c>
      <c r="F65" s="3">
        <v>900033898</v>
      </c>
      <c r="G65" s="261" t="s">
        <v>339</v>
      </c>
      <c r="H65" s="258"/>
      <c r="I65" s="258"/>
      <c r="J65" s="258"/>
      <c r="K65" s="258"/>
    </row>
    <row r="66" spans="1:11" x14ac:dyDescent="0.2">
      <c r="A66" s="252">
        <v>3806</v>
      </c>
      <c r="B66" s="260" t="s">
        <v>342</v>
      </c>
      <c r="C66" s="2" t="str">
        <f t="shared" ref="C66:C83" si="3">MID(B66,5,100)</f>
        <v>Kirchengemeinde MZ-Laubenheim</v>
      </c>
      <c r="D66" s="177" t="str">
        <f t="shared" ref="D66:D129" si="4">IF(LEN($A66)&lt;=4,LEFT(TEXT($A66,"0000"),4),LEFT(TEXT($A66,"000000"),4))</f>
        <v>3806</v>
      </c>
      <c r="E66" s="177" t="str">
        <f t="shared" ref="E66:E129" si="5">$M$1&amp;$D66</f>
        <v>900033806</v>
      </c>
      <c r="F66" s="3">
        <v>900033898</v>
      </c>
      <c r="G66" s="261" t="s">
        <v>339</v>
      </c>
      <c r="H66" s="258"/>
      <c r="I66" s="258"/>
      <c r="J66" s="258"/>
      <c r="K66" s="258"/>
    </row>
    <row r="67" spans="1:11" x14ac:dyDescent="0.2">
      <c r="A67" s="252">
        <v>3807</v>
      </c>
      <c r="B67" s="260" t="s">
        <v>343</v>
      </c>
      <c r="C67" s="2" t="str">
        <f t="shared" si="3"/>
        <v>Kirchengemeinde MZ Altmünstergemeinde</v>
      </c>
      <c r="D67" s="177" t="str">
        <f t="shared" si="4"/>
        <v>3807</v>
      </c>
      <c r="E67" s="177" t="str">
        <f t="shared" si="5"/>
        <v>900033807</v>
      </c>
      <c r="F67" s="3">
        <v>900033898</v>
      </c>
      <c r="G67" s="261" t="s">
        <v>339</v>
      </c>
      <c r="H67" s="258"/>
      <c r="I67" s="258"/>
      <c r="J67" s="258"/>
      <c r="K67" s="258"/>
    </row>
    <row r="68" spans="1:11" x14ac:dyDescent="0.2">
      <c r="A68" s="252">
        <v>3808</v>
      </c>
      <c r="B68" s="260" t="s">
        <v>344</v>
      </c>
      <c r="C68" s="2" t="str">
        <f t="shared" si="3"/>
        <v>Kirchengemeinde MZ Auferstehungsgemeinde</v>
      </c>
      <c r="D68" s="177" t="str">
        <f t="shared" si="4"/>
        <v>3808</v>
      </c>
      <c r="E68" s="177" t="str">
        <f t="shared" si="5"/>
        <v>900033808</v>
      </c>
      <c r="F68" s="3">
        <v>900033898</v>
      </c>
      <c r="G68" s="261" t="s">
        <v>339</v>
      </c>
      <c r="H68" s="258"/>
      <c r="I68" s="258"/>
      <c r="J68" s="258"/>
      <c r="K68" s="258"/>
    </row>
    <row r="69" spans="1:11" x14ac:dyDescent="0.2">
      <c r="A69" s="252">
        <v>3809</v>
      </c>
      <c r="B69" s="260" t="s">
        <v>345</v>
      </c>
      <c r="C69" s="2" t="str">
        <f t="shared" si="3"/>
        <v>Kirchengemeinde MZ Philippusgemeinde Bretzenh.</v>
      </c>
      <c r="D69" s="177" t="str">
        <f t="shared" si="4"/>
        <v>3809</v>
      </c>
      <c r="E69" s="177" t="str">
        <f t="shared" si="5"/>
        <v>900033809</v>
      </c>
      <c r="F69" s="3">
        <v>900033898</v>
      </c>
      <c r="G69" s="261" t="s">
        <v>339</v>
      </c>
      <c r="H69" s="258"/>
      <c r="I69" s="258"/>
      <c r="J69" s="258"/>
      <c r="K69" s="258"/>
    </row>
    <row r="70" spans="1:11" x14ac:dyDescent="0.2">
      <c r="A70" s="252">
        <v>3810</v>
      </c>
      <c r="B70" s="260" t="s">
        <v>346</v>
      </c>
      <c r="C70" s="2" t="str">
        <f t="shared" si="3"/>
        <v>Kirchengemeinde MZ Christusgemeinde</v>
      </c>
      <c r="D70" s="177" t="str">
        <f t="shared" si="4"/>
        <v>3810</v>
      </c>
      <c r="E70" s="177" t="str">
        <f t="shared" si="5"/>
        <v>900033810</v>
      </c>
      <c r="F70" s="3">
        <v>900033898</v>
      </c>
      <c r="G70" s="261" t="s">
        <v>339</v>
      </c>
      <c r="H70" s="258"/>
      <c r="I70" s="258"/>
      <c r="J70" s="258"/>
      <c r="K70" s="258"/>
    </row>
    <row r="71" spans="1:11" x14ac:dyDescent="0.2">
      <c r="A71" s="252">
        <v>3811</v>
      </c>
      <c r="B71" s="260" t="s">
        <v>347</v>
      </c>
      <c r="C71" s="2" t="str">
        <f t="shared" si="3"/>
        <v>Kirchengemeinde MZ-Marienborn</v>
      </c>
      <c r="D71" s="177" t="str">
        <f t="shared" si="4"/>
        <v>3811</v>
      </c>
      <c r="E71" s="177" t="str">
        <f t="shared" si="5"/>
        <v>900033811</v>
      </c>
      <c r="F71" s="3">
        <v>900033898</v>
      </c>
      <c r="G71" s="261" t="s">
        <v>339</v>
      </c>
      <c r="H71" s="258"/>
      <c r="I71" s="258"/>
      <c r="J71" s="258"/>
      <c r="K71" s="258"/>
    </row>
    <row r="72" spans="1:11" x14ac:dyDescent="0.2">
      <c r="A72" s="252">
        <v>3812</v>
      </c>
      <c r="B72" s="260" t="s">
        <v>348</v>
      </c>
      <c r="C72" s="2" t="str">
        <f t="shared" si="3"/>
        <v>Kirchengemeinde MZ-Gonsenheim</v>
      </c>
      <c r="D72" s="177" t="str">
        <f t="shared" si="4"/>
        <v>3812</v>
      </c>
      <c r="E72" s="177" t="str">
        <f t="shared" si="5"/>
        <v>900033812</v>
      </c>
      <c r="F72" s="3">
        <v>900033898</v>
      </c>
      <c r="G72" s="261" t="s">
        <v>339</v>
      </c>
      <c r="H72" s="258"/>
      <c r="I72" s="258"/>
      <c r="J72" s="258"/>
      <c r="K72" s="258"/>
    </row>
    <row r="73" spans="1:11" x14ac:dyDescent="0.2">
      <c r="A73" s="252">
        <v>3813</v>
      </c>
      <c r="B73" s="260" t="s">
        <v>349</v>
      </c>
      <c r="C73" s="2" t="str">
        <f t="shared" si="3"/>
        <v>Kirchengemeinde MZ St. Johanniskirchengemeinde</v>
      </c>
      <c r="D73" s="177" t="str">
        <f t="shared" si="4"/>
        <v>3813</v>
      </c>
      <c r="E73" s="177" t="str">
        <f t="shared" si="5"/>
        <v>900033813</v>
      </c>
      <c r="F73" s="3">
        <v>900033898</v>
      </c>
      <c r="G73" s="261" t="s">
        <v>339</v>
      </c>
      <c r="H73" s="258"/>
      <c r="I73" s="258"/>
      <c r="J73" s="258"/>
      <c r="K73" s="258"/>
    </row>
    <row r="74" spans="1:11" x14ac:dyDescent="0.2">
      <c r="A74" s="252">
        <v>3814</v>
      </c>
      <c r="B74" s="260" t="s">
        <v>350</v>
      </c>
      <c r="C74" s="2" t="str">
        <f t="shared" si="3"/>
        <v>Kirchengemeinde MZ Maria-Magdalenakircheng.
Drais-Lerchenberg</v>
      </c>
      <c r="D74" s="177" t="str">
        <f t="shared" si="4"/>
        <v>3814</v>
      </c>
      <c r="E74" s="177" t="str">
        <f t="shared" si="5"/>
        <v>900033814</v>
      </c>
      <c r="F74" s="3">
        <v>900033898</v>
      </c>
      <c r="G74" s="261" t="s">
        <v>339</v>
      </c>
      <c r="H74" s="258"/>
      <c r="I74" s="258"/>
      <c r="J74" s="258"/>
      <c r="K74" s="258"/>
    </row>
    <row r="75" spans="1:11" x14ac:dyDescent="0.2">
      <c r="A75" s="252">
        <v>3815</v>
      </c>
      <c r="B75" s="260" t="s">
        <v>351</v>
      </c>
      <c r="C75" s="2" t="str">
        <f t="shared" si="3"/>
        <v>Kirchengemeinde MZ Luthergemeinde</v>
      </c>
      <c r="D75" s="177" t="str">
        <f t="shared" si="4"/>
        <v>3815</v>
      </c>
      <c r="E75" s="177" t="str">
        <f t="shared" si="5"/>
        <v>900033815</v>
      </c>
      <c r="F75" s="3">
        <v>900033898</v>
      </c>
      <c r="G75" s="261" t="s">
        <v>339</v>
      </c>
      <c r="H75" s="258"/>
      <c r="I75" s="258"/>
      <c r="J75" s="258"/>
      <c r="K75" s="258"/>
    </row>
    <row r="76" spans="1:11" x14ac:dyDescent="0.2">
      <c r="A76" s="252">
        <v>3816</v>
      </c>
      <c r="B76" s="260" t="s">
        <v>352</v>
      </c>
      <c r="C76" s="2" t="str">
        <f t="shared" si="3"/>
        <v>Kirchengemeinde in der Oberstadt Mainz</v>
      </c>
      <c r="D76" s="177" t="str">
        <f t="shared" si="4"/>
        <v>3816</v>
      </c>
      <c r="E76" s="177" t="str">
        <f t="shared" si="5"/>
        <v>900033816</v>
      </c>
      <c r="F76" s="3">
        <v>900033898</v>
      </c>
      <c r="G76" s="261" t="s">
        <v>339</v>
      </c>
      <c r="H76" s="258"/>
      <c r="I76" s="258"/>
      <c r="J76" s="258"/>
      <c r="K76" s="258"/>
    </row>
    <row r="77" spans="1:11" x14ac:dyDescent="0.2">
      <c r="A77" s="252">
        <v>3817</v>
      </c>
      <c r="B77" s="260" t="s">
        <v>353</v>
      </c>
      <c r="C77" s="2" t="str">
        <f t="shared" si="3"/>
        <v>Kirchengemeinde MZ-Mombach</v>
      </c>
      <c r="D77" s="177" t="str">
        <f t="shared" si="4"/>
        <v>3817</v>
      </c>
      <c r="E77" s="177" t="str">
        <f t="shared" si="5"/>
        <v>900033817</v>
      </c>
      <c r="F77" s="3">
        <v>900033898</v>
      </c>
      <c r="G77" s="261" t="s">
        <v>339</v>
      </c>
      <c r="H77" s="258"/>
      <c r="I77" s="258"/>
      <c r="J77" s="258"/>
      <c r="K77" s="258"/>
    </row>
    <row r="78" spans="1:11" x14ac:dyDescent="0.2">
      <c r="A78" s="252">
        <v>3818</v>
      </c>
      <c r="B78" s="260" t="s">
        <v>354</v>
      </c>
      <c r="C78" s="2" t="str">
        <f t="shared" si="3"/>
        <v>Kirchengemeinde MZ Paulusgemeinde</v>
      </c>
      <c r="D78" s="177" t="str">
        <f t="shared" si="4"/>
        <v>3818</v>
      </c>
      <c r="E78" s="177" t="str">
        <f t="shared" si="5"/>
        <v>900033818</v>
      </c>
      <c r="F78" s="3">
        <v>900033898</v>
      </c>
      <c r="G78" s="261" t="s">
        <v>339</v>
      </c>
      <c r="H78" s="258"/>
      <c r="I78" s="258"/>
      <c r="J78" s="258"/>
      <c r="K78" s="258"/>
    </row>
    <row r="79" spans="1:11" x14ac:dyDescent="0.2">
      <c r="A79" s="252">
        <v>3820</v>
      </c>
      <c r="B79" s="260" t="s">
        <v>355</v>
      </c>
      <c r="C79" s="2" t="str">
        <f t="shared" si="3"/>
        <v>Kirchengemeinde MZ-Weisenau</v>
      </c>
      <c r="D79" s="177" t="str">
        <f t="shared" si="4"/>
        <v>3820</v>
      </c>
      <c r="E79" s="177" t="str">
        <f t="shared" si="5"/>
        <v>900033820</v>
      </c>
      <c r="F79" s="3">
        <v>900033898</v>
      </c>
      <c r="G79" s="261" t="s">
        <v>339</v>
      </c>
      <c r="H79" s="258"/>
      <c r="I79" s="258"/>
      <c r="J79" s="258"/>
      <c r="K79" s="258"/>
    </row>
    <row r="80" spans="1:11" x14ac:dyDescent="0.2">
      <c r="A80" s="252">
        <v>3822</v>
      </c>
      <c r="B80" s="260" t="s">
        <v>356</v>
      </c>
      <c r="C80" s="2" t="str">
        <f t="shared" si="3"/>
        <v>Kirchengemeinde Ober-Olm, Klein-Winternheim</v>
      </c>
      <c r="D80" s="177" t="str">
        <f t="shared" si="4"/>
        <v>3822</v>
      </c>
      <c r="E80" s="177" t="str">
        <f t="shared" si="5"/>
        <v>900033822</v>
      </c>
      <c r="F80" s="3">
        <v>900033898</v>
      </c>
      <c r="G80" s="261" t="s">
        <v>339</v>
      </c>
      <c r="H80" s="258"/>
      <c r="I80" s="258"/>
      <c r="J80" s="258"/>
      <c r="K80" s="258"/>
    </row>
    <row r="81" spans="1:11" x14ac:dyDescent="0.2">
      <c r="A81" s="252">
        <v>3823</v>
      </c>
      <c r="B81" s="260" t="s">
        <v>357</v>
      </c>
      <c r="C81" s="2" t="str">
        <f t="shared" si="3"/>
        <v>Kirchengemeinde MZ-Ebersheim</v>
      </c>
      <c r="D81" s="177" t="str">
        <f t="shared" si="4"/>
        <v>3823</v>
      </c>
      <c r="E81" s="177" t="str">
        <f t="shared" si="5"/>
        <v>900033823</v>
      </c>
      <c r="F81" s="3">
        <v>900033898</v>
      </c>
      <c r="G81" s="261" t="s">
        <v>339</v>
      </c>
      <c r="H81" s="258"/>
      <c r="I81" s="258"/>
      <c r="J81" s="258"/>
      <c r="K81" s="258"/>
    </row>
    <row r="82" spans="1:11" x14ac:dyDescent="0.2">
      <c r="A82" s="252">
        <v>3824</v>
      </c>
      <c r="B82" s="260" t="s">
        <v>358</v>
      </c>
      <c r="C82" s="2" t="str">
        <f t="shared" si="3"/>
        <v>Kirchengemeinde Zornheim</v>
      </c>
      <c r="D82" s="177" t="str">
        <f t="shared" si="4"/>
        <v>3824</v>
      </c>
      <c r="E82" s="177" t="str">
        <f t="shared" si="5"/>
        <v>900033824</v>
      </c>
      <c r="F82" s="3">
        <v>900033898</v>
      </c>
      <c r="G82" s="261" t="s">
        <v>339</v>
      </c>
      <c r="H82" s="258"/>
      <c r="I82" s="258"/>
      <c r="J82" s="258"/>
      <c r="K82" s="258"/>
    </row>
    <row r="83" spans="1:11" x14ac:dyDescent="0.2">
      <c r="A83" s="252">
        <v>3825</v>
      </c>
      <c r="B83" s="260" t="s">
        <v>359</v>
      </c>
      <c r="C83" s="2" t="str">
        <f t="shared" si="3"/>
        <v>Kirchengemeinde MZ Emmausgemeinde</v>
      </c>
      <c r="D83" s="177" t="str">
        <f t="shared" si="4"/>
        <v>3825</v>
      </c>
      <c r="E83" s="177" t="str">
        <f t="shared" si="5"/>
        <v>900033825</v>
      </c>
      <c r="F83" s="3">
        <v>900033898</v>
      </c>
      <c r="G83" s="261" t="s">
        <v>339</v>
      </c>
      <c r="H83" s="258"/>
      <c r="I83" s="258"/>
      <c r="J83" s="258"/>
      <c r="K83" s="258"/>
    </row>
    <row r="84" spans="1:11" x14ac:dyDescent="0.2">
      <c r="A84" s="252">
        <v>3871</v>
      </c>
      <c r="B84" s="260" t="s">
        <v>360</v>
      </c>
      <c r="C84" s="2" t="str">
        <f>B84</f>
        <v>AG Jugen in Rheinhessen</v>
      </c>
      <c r="D84" s="177" t="str">
        <f t="shared" si="4"/>
        <v>3871</v>
      </c>
      <c r="E84" s="177" t="str">
        <f t="shared" si="5"/>
        <v>900033871</v>
      </c>
      <c r="F84" s="3">
        <v>900033898</v>
      </c>
      <c r="G84" s="261" t="s">
        <v>339</v>
      </c>
      <c r="H84" s="258"/>
      <c r="I84" s="258"/>
      <c r="J84" s="258"/>
      <c r="K84" s="258"/>
    </row>
    <row r="85" spans="1:11" x14ac:dyDescent="0.2">
      <c r="A85" s="252">
        <v>3898</v>
      </c>
      <c r="B85" s="191" t="s">
        <v>361</v>
      </c>
      <c r="C85" s="2" t="str">
        <f t="shared" ref="C85:C148" si="6">MID(B85,5,100)</f>
        <v>Dekanat Mainz</v>
      </c>
      <c r="D85" s="177" t="str">
        <f t="shared" si="4"/>
        <v>3898</v>
      </c>
      <c r="E85" s="177" t="str">
        <f t="shared" si="5"/>
        <v>900033898</v>
      </c>
      <c r="F85" s="3">
        <v>900033898</v>
      </c>
      <c r="G85" s="261" t="s">
        <v>339</v>
      </c>
      <c r="H85" s="258"/>
      <c r="I85" s="258"/>
      <c r="J85" s="258"/>
      <c r="K85" s="258"/>
    </row>
    <row r="86" spans="1:11" x14ac:dyDescent="0.2">
      <c r="A86" s="252">
        <v>4302</v>
      </c>
      <c r="B86" s="251" t="s">
        <v>362</v>
      </c>
      <c r="C86" s="176" t="str">
        <f t="shared" si="6"/>
        <v>Kirchengemeinde Bodenheim-Nackenheim</v>
      </c>
      <c r="D86" s="177" t="str">
        <f t="shared" si="4"/>
        <v>4302</v>
      </c>
      <c r="E86" s="177" t="str">
        <f t="shared" si="5"/>
        <v>900034302</v>
      </c>
      <c r="F86" s="177">
        <v>900031098</v>
      </c>
      <c r="G86" s="254" t="s">
        <v>314</v>
      </c>
      <c r="H86" s="258"/>
      <c r="I86" s="258"/>
      <c r="J86" s="258"/>
      <c r="K86" s="258"/>
    </row>
    <row r="87" spans="1:11" x14ac:dyDescent="0.2">
      <c r="A87" s="252">
        <v>4303</v>
      </c>
      <c r="B87" s="260" t="s">
        <v>363</v>
      </c>
      <c r="C87" s="2" t="str">
        <f t="shared" si="6"/>
        <v>Kirchengemeinde Dalheim</v>
      </c>
      <c r="D87" s="177" t="str">
        <f t="shared" si="4"/>
        <v>4303</v>
      </c>
      <c r="E87" s="177" t="str">
        <f t="shared" si="5"/>
        <v>900034303</v>
      </c>
      <c r="F87" s="3">
        <v>900031098</v>
      </c>
      <c r="G87" s="261" t="s">
        <v>314</v>
      </c>
      <c r="H87" s="258"/>
      <c r="I87" s="258"/>
      <c r="J87" s="258"/>
      <c r="K87" s="258"/>
    </row>
    <row r="88" spans="1:11" x14ac:dyDescent="0.2">
      <c r="A88" s="252">
        <v>4304</v>
      </c>
      <c r="B88" s="260" t="s">
        <v>364</v>
      </c>
      <c r="C88" s="2" t="str">
        <f t="shared" si="6"/>
        <v>Kirchengemeinde Dexheim</v>
      </c>
      <c r="D88" s="177" t="str">
        <f t="shared" si="4"/>
        <v>4304</v>
      </c>
      <c r="E88" s="177" t="str">
        <f t="shared" si="5"/>
        <v>900034304</v>
      </c>
      <c r="F88" s="3">
        <v>900031098</v>
      </c>
      <c r="G88" s="261" t="s">
        <v>314</v>
      </c>
      <c r="H88" s="258"/>
      <c r="I88" s="258"/>
      <c r="J88" s="258"/>
      <c r="K88" s="258"/>
    </row>
    <row r="89" spans="1:11" x14ac:dyDescent="0.2">
      <c r="A89" s="252">
        <v>4305</v>
      </c>
      <c r="B89" s="251" t="s">
        <v>365</v>
      </c>
      <c r="C89" s="176" t="str">
        <f t="shared" si="6"/>
        <v>Kirchengemeinde Dienheim</v>
      </c>
      <c r="D89" s="177" t="str">
        <f t="shared" si="4"/>
        <v>4305</v>
      </c>
      <c r="E89" s="177" t="str">
        <f t="shared" si="5"/>
        <v>900034305</v>
      </c>
      <c r="F89" s="177">
        <v>900031098</v>
      </c>
      <c r="G89" s="254" t="s">
        <v>314</v>
      </c>
      <c r="H89" s="258"/>
      <c r="I89" s="258"/>
      <c r="J89" s="258"/>
      <c r="K89" s="258"/>
    </row>
    <row r="90" spans="1:11" x14ac:dyDescent="0.2">
      <c r="A90" s="252">
        <v>4306</v>
      </c>
      <c r="B90" s="260" t="s">
        <v>366</v>
      </c>
      <c r="C90" s="2" t="str">
        <f t="shared" si="6"/>
        <v>Kirchengemeinde Dolgesheim</v>
      </c>
      <c r="D90" s="177" t="str">
        <f t="shared" si="4"/>
        <v>4306</v>
      </c>
      <c r="E90" s="177" t="str">
        <f t="shared" si="5"/>
        <v>900034306</v>
      </c>
      <c r="F90" s="3">
        <v>900031098</v>
      </c>
      <c r="G90" s="261" t="s">
        <v>314</v>
      </c>
      <c r="H90" s="258"/>
      <c r="I90" s="258"/>
      <c r="J90" s="258"/>
      <c r="K90" s="258"/>
    </row>
    <row r="91" spans="1:11" x14ac:dyDescent="0.2">
      <c r="A91" s="252">
        <v>4307</v>
      </c>
      <c r="B91" s="260" t="s">
        <v>367</v>
      </c>
      <c r="C91" s="2" t="str">
        <f t="shared" si="6"/>
        <v>Kirchengemeinde Eimsheim</v>
      </c>
      <c r="D91" s="177" t="str">
        <f t="shared" si="4"/>
        <v>4307</v>
      </c>
      <c r="E91" s="177" t="str">
        <f t="shared" si="5"/>
        <v>900034307</v>
      </c>
      <c r="F91" s="3">
        <v>900031098</v>
      </c>
      <c r="G91" s="261" t="s">
        <v>314</v>
      </c>
      <c r="H91" s="258"/>
      <c r="I91" s="258"/>
      <c r="J91" s="258"/>
      <c r="K91" s="258"/>
    </row>
    <row r="92" spans="1:11" x14ac:dyDescent="0.2">
      <c r="A92" s="252">
        <v>4309</v>
      </c>
      <c r="B92" s="260" t="s">
        <v>368</v>
      </c>
      <c r="C92" s="2" t="str">
        <f t="shared" si="6"/>
        <v>Kirchengemeinde Guntersblum</v>
      </c>
      <c r="D92" s="177" t="str">
        <f t="shared" si="4"/>
        <v>4309</v>
      </c>
      <c r="E92" s="177" t="str">
        <f t="shared" si="5"/>
        <v>900034309</v>
      </c>
      <c r="F92" s="3">
        <v>900031098</v>
      </c>
      <c r="G92" s="261" t="s">
        <v>314</v>
      </c>
      <c r="H92" s="258"/>
      <c r="I92" s="258"/>
      <c r="J92" s="258"/>
      <c r="K92" s="258"/>
    </row>
    <row r="93" spans="1:11" x14ac:dyDescent="0.2">
      <c r="A93" s="252">
        <v>4310</v>
      </c>
      <c r="B93" s="260" t="s">
        <v>369</v>
      </c>
      <c r="C93" s="2" t="str">
        <f t="shared" si="6"/>
        <v>Kirchengemeinde Harxheim</v>
      </c>
      <c r="D93" s="177" t="str">
        <f t="shared" si="4"/>
        <v>4310</v>
      </c>
      <c r="E93" s="177" t="str">
        <f t="shared" si="5"/>
        <v>900034310</v>
      </c>
      <c r="F93" s="3">
        <v>900031098</v>
      </c>
      <c r="G93" s="261" t="s">
        <v>314</v>
      </c>
      <c r="H93" s="258"/>
      <c r="I93" s="258"/>
      <c r="J93" s="258"/>
      <c r="K93" s="258"/>
    </row>
    <row r="94" spans="1:11" x14ac:dyDescent="0.2">
      <c r="A94" s="252">
        <v>4311</v>
      </c>
      <c r="B94" s="260" t="s">
        <v>370</v>
      </c>
      <c r="C94" s="2" t="str">
        <f t="shared" si="6"/>
        <v>Kirchengemeinde Mommenheim-Lörzweiler</v>
      </c>
      <c r="D94" s="177" t="str">
        <f t="shared" si="4"/>
        <v>4311</v>
      </c>
      <c r="E94" s="177" t="str">
        <f t="shared" si="5"/>
        <v>900034311</v>
      </c>
      <c r="F94" s="3">
        <v>900031098</v>
      </c>
      <c r="G94" s="261" t="s">
        <v>314</v>
      </c>
      <c r="H94" s="258"/>
      <c r="I94" s="258"/>
      <c r="J94" s="258"/>
      <c r="K94" s="258"/>
    </row>
    <row r="95" spans="1:11" x14ac:dyDescent="0.2">
      <c r="A95" s="252">
        <v>4312</v>
      </c>
      <c r="B95" s="260" t="s">
        <v>371</v>
      </c>
      <c r="C95" s="2" t="str">
        <f t="shared" si="6"/>
        <v>Kirchengemeinde Nieder-Saulheim</v>
      </c>
      <c r="D95" s="177" t="str">
        <f t="shared" si="4"/>
        <v>4312</v>
      </c>
      <c r="E95" s="177" t="str">
        <f t="shared" si="5"/>
        <v>900034312</v>
      </c>
      <c r="F95" s="3">
        <v>900031098</v>
      </c>
      <c r="G95" s="261" t="s">
        <v>314</v>
      </c>
      <c r="H95" s="258"/>
      <c r="I95" s="258"/>
      <c r="J95" s="258"/>
      <c r="K95" s="258"/>
    </row>
    <row r="96" spans="1:11" x14ac:dyDescent="0.2">
      <c r="A96" s="252">
        <v>4313</v>
      </c>
      <c r="B96" s="260" t="s">
        <v>372</v>
      </c>
      <c r="C96" s="2" t="str">
        <f t="shared" si="6"/>
        <v>Kirchengemeinde Nierstein</v>
      </c>
      <c r="D96" s="177" t="str">
        <f t="shared" si="4"/>
        <v>4313</v>
      </c>
      <c r="E96" s="177" t="str">
        <f t="shared" si="5"/>
        <v>900034313</v>
      </c>
      <c r="F96" s="3">
        <v>900031098</v>
      </c>
      <c r="G96" s="261" t="s">
        <v>314</v>
      </c>
      <c r="H96" s="258"/>
      <c r="I96" s="258"/>
      <c r="J96" s="258"/>
      <c r="K96" s="258"/>
    </row>
    <row r="97" spans="1:11" x14ac:dyDescent="0.2">
      <c r="A97" s="252">
        <v>4314</v>
      </c>
      <c r="B97" s="260" t="s">
        <v>373</v>
      </c>
      <c r="C97" s="2" t="str">
        <f t="shared" si="6"/>
        <v>Kirchengemeinde Ober-Saulheim</v>
      </c>
      <c r="D97" s="177" t="str">
        <f t="shared" si="4"/>
        <v>4314</v>
      </c>
      <c r="E97" s="177" t="str">
        <f t="shared" si="5"/>
        <v>900034314</v>
      </c>
      <c r="F97" s="3">
        <v>900031098</v>
      </c>
      <c r="G97" s="261" t="s">
        <v>314</v>
      </c>
      <c r="H97" s="258"/>
      <c r="I97" s="258"/>
      <c r="J97" s="258"/>
      <c r="K97" s="258"/>
    </row>
    <row r="98" spans="1:11" x14ac:dyDescent="0.2">
      <c r="A98" s="252">
        <v>4315</v>
      </c>
      <c r="B98" s="260" t="s">
        <v>374</v>
      </c>
      <c r="C98" s="2" t="str">
        <f t="shared" si="6"/>
        <v>Kirchengemeinde Oppenheim</v>
      </c>
      <c r="D98" s="177" t="str">
        <f t="shared" si="4"/>
        <v>4315</v>
      </c>
      <c r="E98" s="177" t="str">
        <f t="shared" si="5"/>
        <v>900034315</v>
      </c>
      <c r="F98" s="3">
        <v>900031098</v>
      </c>
      <c r="G98" s="261" t="s">
        <v>314</v>
      </c>
      <c r="H98" s="258"/>
      <c r="I98" s="258"/>
      <c r="J98" s="258"/>
      <c r="K98" s="258"/>
    </row>
    <row r="99" spans="1:11" x14ac:dyDescent="0.2">
      <c r="A99" s="252">
        <v>4317</v>
      </c>
      <c r="B99" s="260" t="s">
        <v>375</v>
      </c>
      <c r="C99" s="2" t="str">
        <f t="shared" si="6"/>
        <v>Kirchengemeinde Schwabsburg</v>
      </c>
      <c r="D99" s="177" t="str">
        <f t="shared" si="4"/>
        <v>4317</v>
      </c>
      <c r="E99" s="177" t="str">
        <f t="shared" si="5"/>
        <v>900034317</v>
      </c>
      <c r="F99" s="3">
        <v>900031098</v>
      </c>
      <c r="G99" s="261" t="s">
        <v>314</v>
      </c>
      <c r="H99" s="258"/>
      <c r="I99" s="258"/>
      <c r="J99" s="258"/>
      <c r="K99" s="258"/>
    </row>
    <row r="100" spans="1:11" x14ac:dyDescent="0.2">
      <c r="A100" s="252">
        <v>4318</v>
      </c>
      <c r="B100" s="260" t="s">
        <v>376</v>
      </c>
      <c r="C100" s="2" t="str">
        <f t="shared" si="6"/>
        <v>Kirchengemeinde Selzen</v>
      </c>
      <c r="D100" s="177" t="str">
        <f t="shared" si="4"/>
        <v>4318</v>
      </c>
      <c r="E100" s="177" t="str">
        <f t="shared" si="5"/>
        <v>900034318</v>
      </c>
      <c r="F100" s="3">
        <v>900031098</v>
      </c>
      <c r="G100" s="261" t="s">
        <v>314</v>
      </c>
      <c r="H100" s="258"/>
      <c r="I100" s="258"/>
      <c r="J100" s="258"/>
      <c r="K100" s="258"/>
    </row>
    <row r="101" spans="1:11" x14ac:dyDescent="0.2">
      <c r="A101" s="252">
        <v>4320</v>
      </c>
      <c r="B101" s="260" t="s">
        <v>377</v>
      </c>
      <c r="C101" s="2" t="str">
        <f t="shared" si="6"/>
        <v>Kirchengemeinde Uelversheim</v>
      </c>
      <c r="D101" s="177" t="str">
        <f t="shared" si="4"/>
        <v>4320</v>
      </c>
      <c r="E101" s="177" t="str">
        <f t="shared" si="5"/>
        <v>900034320</v>
      </c>
      <c r="F101" s="3">
        <v>900031098</v>
      </c>
      <c r="G101" s="261" t="s">
        <v>314</v>
      </c>
      <c r="H101" s="258"/>
      <c r="I101" s="258"/>
      <c r="J101" s="258"/>
      <c r="K101" s="258"/>
    </row>
    <row r="102" spans="1:11" x14ac:dyDescent="0.2">
      <c r="A102" s="252">
        <v>4321</v>
      </c>
      <c r="B102" s="253" t="s">
        <v>378</v>
      </c>
      <c r="C102" s="2" t="str">
        <f t="shared" si="6"/>
        <v>Kirchengemeinde Undenheim-Friesenheim</v>
      </c>
      <c r="D102" s="177" t="str">
        <f t="shared" si="4"/>
        <v>4321</v>
      </c>
      <c r="E102" s="177" t="str">
        <f t="shared" si="5"/>
        <v>900034321</v>
      </c>
      <c r="F102" s="3">
        <v>900031098</v>
      </c>
      <c r="G102" s="261" t="s">
        <v>314</v>
      </c>
      <c r="H102" s="258"/>
      <c r="I102" s="258"/>
      <c r="J102" s="258"/>
      <c r="K102" s="258"/>
    </row>
    <row r="103" spans="1:11" x14ac:dyDescent="0.2">
      <c r="A103" s="252">
        <v>4322</v>
      </c>
      <c r="B103" s="260" t="s">
        <v>379</v>
      </c>
      <c r="C103" s="2" t="str">
        <f t="shared" si="6"/>
        <v>Kirchengemeinde Weinolsheim</v>
      </c>
      <c r="D103" s="177" t="str">
        <f t="shared" si="4"/>
        <v>4322</v>
      </c>
      <c r="E103" s="177" t="str">
        <f t="shared" si="5"/>
        <v>900034322</v>
      </c>
      <c r="F103" s="3">
        <v>900031098</v>
      </c>
      <c r="G103" s="261" t="s">
        <v>314</v>
      </c>
      <c r="H103" s="258"/>
      <c r="I103" s="258"/>
      <c r="J103" s="258"/>
      <c r="K103" s="258"/>
    </row>
    <row r="104" spans="1:11" x14ac:dyDescent="0.2">
      <c r="A104" s="252">
        <v>5803</v>
      </c>
      <c r="B104" s="260" t="s">
        <v>380</v>
      </c>
      <c r="C104" s="2" t="str">
        <f t="shared" si="6"/>
        <v>Kirchengemeinde Biebelsheim</v>
      </c>
      <c r="D104" s="177" t="str">
        <f t="shared" si="4"/>
        <v>5803</v>
      </c>
      <c r="E104" s="177" t="str">
        <f t="shared" si="5"/>
        <v>900035803</v>
      </c>
      <c r="F104" s="179">
        <v>900030298</v>
      </c>
      <c r="G104" s="260" t="s">
        <v>277</v>
      </c>
      <c r="H104" s="258"/>
      <c r="I104" s="258"/>
      <c r="J104" s="258"/>
      <c r="K104" s="258"/>
    </row>
    <row r="105" spans="1:11" x14ac:dyDescent="0.2">
      <c r="A105" s="252">
        <v>5804</v>
      </c>
      <c r="B105" s="260" t="s">
        <v>381</v>
      </c>
      <c r="C105" s="2" t="str">
        <f t="shared" si="6"/>
        <v>Kirchengemeinde Bosenheim</v>
      </c>
      <c r="D105" s="177" t="str">
        <f t="shared" si="4"/>
        <v>5804</v>
      </c>
      <c r="E105" s="177" t="str">
        <f t="shared" si="5"/>
        <v>900035804</v>
      </c>
      <c r="F105" s="179">
        <v>900030298</v>
      </c>
      <c r="G105" s="260" t="s">
        <v>277</v>
      </c>
      <c r="H105" s="258"/>
      <c r="I105" s="258"/>
      <c r="J105" s="258"/>
      <c r="K105" s="258"/>
    </row>
    <row r="106" spans="1:11" x14ac:dyDescent="0.2">
      <c r="A106" s="252">
        <v>5805</v>
      </c>
      <c r="B106" s="260" t="s">
        <v>382</v>
      </c>
      <c r="C106" s="2" t="str">
        <f t="shared" si="6"/>
        <v>Kirchengemeinde Eckelsheim</v>
      </c>
      <c r="D106" s="177" t="str">
        <f t="shared" si="4"/>
        <v>5805</v>
      </c>
      <c r="E106" s="177" t="str">
        <f t="shared" si="5"/>
        <v>900035805</v>
      </c>
      <c r="F106" s="179">
        <v>900030298</v>
      </c>
      <c r="G106" s="260" t="s">
        <v>277</v>
      </c>
      <c r="H106" s="258"/>
      <c r="I106" s="258"/>
      <c r="J106" s="258"/>
      <c r="K106" s="258"/>
    </row>
    <row r="107" spans="1:11" x14ac:dyDescent="0.2">
      <c r="A107" s="252">
        <v>5808</v>
      </c>
      <c r="B107" s="260" t="s">
        <v>383</v>
      </c>
      <c r="C107" s="2" t="str">
        <f t="shared" si="6"/>
        <v>Kirchengemeinde Eichelberg</v>
      </c>
      <c r="D107" s="177" t="str">
        <f t="shared" si="4"/>
        <v>5808</v>
      </c>
      <c r="E107" s="177" t="str">
        <f t="shared" si="5"/>
        <v>900035808</v>
      </c>
      <c r="F107" s="179">
        <v>900030298</v>
      </c>
      <c r="G107" s="260" t="s">
        <v>277</v>
      </c>
      <c r="H107" s="258"/>
      <c r="I107" s="258"/>
      <c r="J107" s="258"/>
      <c r="K107" s="258"/>
    </row>
    <row r="108" spans="1:11" x14ac:dyDescent="0.2">
      <c r="A108" s="252">
        <v>5809</v>
      </c>
      <c r="B108" s="260" t="s">
        <v>384</v>
      </c>
      <c r="C108" s="2" t="str">
        <f t="shared" si="6"/>
        <v>Kirchengemeinde Gau-Weinheim</v>
      </c>
      <c r="D108" s="177" t="str">
        <f t="shared" si="4"/>
        <v>5809</v>
      </c>
      <c r="E108" s="177" t="str">
        <f t="shared" si="5"/>
        <v>900035809</v>
      </c>
      <c r="F108" s="179">
        <v>900030298</v>
      </c>
      <c r="G108" s="260" t="s">
        <v>277</v>
      </c>
      <c r="H108" s="258"/>
      <c r="I108" s="258"/>
      <c r="J108" s="258"/>
      <c r="K108" s="258"/>
    </row>
    <row r="109" spans="1:11" x14ac:dyDescent="0.2">
      <c r="A109" s="252">
        <v>5810</v>
      </c>
      <c r="B109" s="260" t="s">
        <v>385</v>
      </c>
      <c r="C109" s="2" t="str">
        <f t="shared" si="6"/>
        <v>Kirchengemeinde Gumbsheim</v>
      </c>
      <c r="D109" s="177" t="str">
        <f t="shared" si="4"/>
        <v>5810</v>
      </c>
      <c r="E109" s="177" t="str">
        <f t="shared" si="5"/>
        <v>900035810</v>
      </c>
      <c r="F109" s="179">
        <v>900030298</v>
      </c>
      <c r="G109" s="260" t="s">
        <v>277</v>
      </c>
      <c r="H109" s="258"/>
      <c r="I109" s="258"/>
      <c r="J109" s="258"/>
      <c r="K109" s="258"/>
    </row>
    <row r="110" spans="1:11" x14ac:dyDescent="0.2">
      <c r="A110" s="252">
        <v>5811</v>
      </c>
      <c r="B110" s="260" t="s">
        <v>386</v>
      </c>
      <c r="C110" s="2" t="str">
        <f t="shared" si="6"/>
        <v>Kirchengemeinde Ippesheim</v>
      </c>
      <c r="D110" s="177" t="str">
        <f t="shared" si="4"/>
        <v>5811</v>
      </c>
      <c r="E110" s="177" t="str">
        <f t="shared" si="5"/>
        <v>900035811</v>
      </c>
      <c r="F110" s="179">
        <v>900030298</v>
      </c>
      <c r="G110" s="260" t="s">
        <v>277</v>
      </c>
      <c r="H110" s="258"/>
      <c r="I110" s="258"/>
      <c r="J110" s="258"/>
      <c r="K110" s="258"/>
    </row>
    <row r="111" spans="1:11" x14ac:dyDescent="0.2">
      <c r="A111" s="252">
        <v>5815</v>
      </c>
      <c r="B111" s="260" t="s">
        <v>387</v>
      </c>
      <c r="C111" s="2" t="str">
        <f t="shared" si="6"/>
        <v>Kirchengemeinde Pfaffen-Schwabenheim</v>
      </c>
      <c r="D111" s="177" t="str">
        <f t="shared" si="4"/>
        <v>5815</v>
      </c>
      <c r="E111" s="177" t="str">
        <f t="shared" si="5"/>
        <v>900035815</v>
      </c>
      <c r="F111" s="179">
        <v>900030298</v>
      </c>
      <c r="G111" s="260" t="s">
        <v>277</v>
      </c>
      <c r="H111" s="258"/>
      <c r="I111" s="258"/>
      <c r="J111" s="258"/>
      <c r="K111" s="258"/>
    </row>
    <row r="112" spans="1:11" x14ac:dyDescent="0.2">
      <c r="A112" s="252">
        <v>5816</v>
      </c>
      <c r="B112" s="260" t="s">
        <v>388</v>
      </c>
      <c r="C112" s="2" t="str">
        <f t="shared" si="6"/>
        <v>Kirchengemeinde Planig</v>
      </c>
      <c r="D112" s="177" t="str">
        <f t="shared" si="4"/>
        <v>5816</v>
      </c>
      <c r="E112" s="177" t="str">
        <f t="shared" si="5"/>
        <v>900035816</v>
      </c>
      <c r="F112" s="179">
        <v>900030298</v>
      </c>
      <c r="G112" s="260" t="s">
        <v>277</v>
      </c>
      <c r="H112" s="258"/>
      <c r="I112" s="258"/>
      <c r="J112" s="258"/>
      <c r="K112" s="258"/>
    </row>
    <row r="113" spans="1:11" x14ac:dyDescent="0.2">
      <c r="A113" s="252">
        <v>5818</v>
      </c>
      <c r="B113" s="260" t="s">
        <v>389</v>
      </c>
      <c r="C113" s="2" t="str">
        <f t="shared" si="6"/>
        <v>Kirchengemeinde Rommersheim</v>
      </c>
      <c r="D113" s="177" t="str">
        <f t="shared" si="4"/>
        <v>5818</v>
      </c>
      <c r="E113" s="177" t="str">
        <f t="shared" si="5"/>
        <v>900035818</v>
      </c>
      <c r="F113" s="179">
        <v>900030298</v>
      </c>
      <c r="G113" s="260" t="s">
        <v>277</v>
      </c>
      <c r="H113" s="258"/>
      <c r="I113" s="258"/>
      <c r="J113" s="258"/>
      <c r="K113" s="258"/>
    </row>
    <row r="114" spans="1:11" x14ac:dyDescent="0.2">
      <c r="A114" s="252">
        <v>5819</v>
      </c>
      <c r="B114" s="260" t="s">
        <v>390</v>
      </c>
      <c r="C114" s="2" t="str">
        <f t="shared" si="6"/>
        <v>Kirchengemeinde Siefersheim</v>
      </c>
      <c r="D114" s="177" t="str">
        <f t="shared" si="4"/>
        <v>5819</v>
      </c>
      <c r="E114" s="177" t="str">
        <f t="shared" si="5"/>
        <v>900035819</v>
      </c>
      <c r="F114" s="179">
        <v>900030298</v>
      </c>
      <c r="G114" s="260" t="s">
        <v>277</v>
      </c>
      <c r="H114" s="258"/>
      <c r="I114" s="258"/>
      <c r="J114" s="258"/>
      <c r="K114" s="258"/>
    </row>
    <row r="115" spans="1:11" x14ac:dyDescent="0.2">
      <c r="A115" s="252">
        <v>5820</v>
      </c>
      <c r="B115" s="260" t="s">
        <v>391</v>
      </c>
      <c r="C115" s="2" t="str">
        <f t="shared" si="6"/>
        <v>Kirchengemeinde Sprendlingen</v>
      </c>
      <c r="D115" s="177" t="str">
        <f t="shared" si="4"/>
        <v>5820</v>
      </c>
      <c r="E115" s="177" t="str">
        <f t="shared" si="5"/>
        <v>900035820</v>
      </c>
      <c r="F115" s="179">
        <v>900030298</v>
      </c>
      <c r="G115" s="260" t="s">
        <v>277</v>
      </c>
      <c r="H115" s="258"/>
      <c r="I115" s="258"/>
      <c r="J115" s="258"/>
      <c r="K115" s="258"/>
    </row>
    <row r="116" spans="1:11" x14ac:dyDescent="0.2">
      <c r="A116" s="252">
        <v>5821</v>
      </c>
      <c r="B116" s="260" t="s">
        <v>392</v>
      </c>
      <c r="C116" s="2" t="str">
        <f t="shared" si="6"/>
        <v>Kirchengemeinde St. Johann/Wolfsheim</v>
      </c>
      <c r="D116" s="177" t="str">
        <f t="shared" si="4"/>
        <v>5821</v>
      </c>
      <c r="E116" s="177" t="str">
        <f t="shared" si="5"/>
        <v>900035821</v>
      </c>
      <c r="F116" s="179">
        <v>900030298</v>
      </c>
      <c r="G116" s="260" t="s">
        <v>277</v>
      </c>
      <c r="H116" s="258"/>
      <c r="I116" s="258"/>
      <c r="J116" s="258"/>
      <c r="K116" s="258"/>
    </row>
    <row r="117" spans="1:11" x14ac:dyDescent="0.2">
      <c r="A117" s="252">
        <v>5822</v>
      </c>
      <c r="B117" s="260" t="s">
        <v>393</v>
      </c>
      <c r="C117" s="2" t="str">
        <f t="shared" si="6"/>
        <v>Kirchengemeinde Stein-Bockenheim</v>
      </c>
      <c r="D117" s="177" t="str">
        <f t="shared" si="4"/>
        <v>5822</v>
      </c>
      <c r="E117" s="177" t="str">
        <f t="shared" si="5"/>
        <v>900035822</v>
      </c>
      <c r="F117" s="179">
        <v>900030298</v>
      </c>
      <c r="G117" s="260" t="s">
        <v>277</v>
      </c>
      <c r="H117" s="258"/>
      <c r="I117" s="258"/>
      <c r="J117" s="258"/>
      <c r="K117" s="258"/>
    </row>
    <row r="118" spans="1:11" x14ac:dyDescent="0.2">
      <c r="A118" s="252">
        <v>5824</v>
      </c>
      <c r="B118" s="260" t="s">
        <v>394</v>
      </c>
      <c r="C118" s="2" t="str">
        <f t="shared" si="6"/>
        <v>Kirchengemeinde Volxheim</v>
      </c>
      <c r="D118" s="177" t="str">
        <f t="shared" si="4"/>
        <v>5824</v>
      </c>
      <c r="E118" s="177" t="str">
        <f t="shared" si="5"/>
        <v>900035824</v>
      </c>
      <c r="F118" s="179">
        <v>900030298</v>
      </c>
      <c r="G118" s="260" t="s">
        <v>277</v>
      </c>
      <c r="H118" s="258"/>
      <c r="I118" s="258"/>
      <c r="J118" s="258"/>
      <c r="K118" s="258"/>
    </row>
    <row r="119" spans="1:11" x14ac:dyDescent="0.2">
      <c r="A119" s="252">
        <v>5825</v>
      </c>
      <c r="B119" s="260" t="s">
        <v>395</v>
      </c>
      <c r="C119" s="2" t="str">
        <f t="shared" si="6"/>
        <v>Kirchengemeinde Wallertheim/ Gau-Bickelheim</v>
      </c>
      <c r="D119" s="177" t="str">
        <f t="shared" si="4"/>
        <v>5825</v>
      </c>
      <c r="E119" s="177" t="str">
        <f t="shared" si="5"/>
        <v>900035825</v>
      </c>
      <c r="F119" s="179">
        <v>900030298</v>
      </c>
      <c r="G119" s="260" t="s">
        <v>277</v>
      </c>
      <c r="H119" s="258"/>
      <c r="I119" s="258"/>
      <c r="J119" s="258"/>
      <c r="K119" s="258"/>
    </row>
    <row r="120" spans="1:11" x14ac:dyDescent="0.2">
      <c r="A120" s="252">
        <v>5827</v>
      </c>
      <c r="B120" s="260" t="s">
        <v>396</v>
      </c>
      <c r="C120" s="2" t="str">
        <f t="shared" si="6"/>
        <v>Kirchengemeinde Wendelsheim</v>
      </c>
      <c r="D120" s="177" t="str">
        <f t="shared" si="4"/>
        <v>5827</v>
      </c>
      <c r="E120" s="177" t="str">
        <f t="shared" si="5"/>
        <v>900035827</v>
      </c>
      <c r="F120" s="179">
        <v>900030298</v>
      </c>
      <c r="G120" s="260" t="s">
        <v>277</v>
      </c>
      <c r="H120" s="258"/>
      <c r="I120" s="258"/>
      <c r="J120" s="258"/>
      <c r="K120" s="258"/>
    </row>
    <row r="121" spans="1:11" x14ac:dyDescent="0.2">
      <c r="A121" s="252">
        <v>5828</v>
      </c>
      <c r="B121" s="260" t="s">
        <v>397</v>
      </c>
      <c r="C121" s="2" t="str">
        <f t="shared" si="6"/>
        <v>Kirchengemeinde Wöllstein</v>
      </c>
      <c r="D121" s="177" t="str">
        <f t="shared" si="4"/>
        <v>5828</v>
      </c>
      <c r="E121" s="177" t="str">
        <f t="shared" si="5"/>
        <v>900035828</v>
      </c>
      <c r="F121" s="179">
        <v>900030298</v>
      </c>
      <c r="G121" s="260" t="s">
        <v>277</v>
      </c>
      <c r="H121" s="258"/>
      <c r="I121" s="258"/>
      <c r="J121" s="258"/>
      <c r="K121" s="258"/>
    </row>
    <row r="122" spans="1:11" x14ac:dyDescent="0.2">
      <c r="A122" s="252">
        <v>5829</v>
      </c>
      <c r="B122" s="260" t="s">
        <v>398</v>
      </c>
      <c r="C122" s="2" t="str">
        <f t="shared" si="6"/>
        <v>Kirchengemeinde Wörrstadt</v>
      </c>
      <c r="D122" s="177" t="str">
        <f t="shared" si="4"/>
        <v>5829</v>
      </c>
      <c r="E122" s="177" t="str">
        <f t="shared" si="5"/>
        <v>900035829</v>
      </c>
      <c r="F122" s="179">
        <v>900030298</v>
      </c>
      <c r="G122" s="260" t="s">
        <v>277</v>
      </c>
      <c r="H122" s="258"/>
      <c r="I122" s="258"/>
      <c r="J122" s="258"/>
      <c r="K122" s="258"/>
    </row>
    <row r="123" spans="1:11" x14ac:dyDescent="0.2">
      <c r="A123" s="252">
        <v>5831</v>
      </c>
      <c r="B123" s="260" t="s">
        <v>399</v>
      </c>
      <c r="C123" s="2" t="str">
        <f t="shared" si="6"/>
        <v>Kirchengemeinde Wonsheim</v>
      </c>
      <c r="D123" s="177" t="str">
        <f t="shared" si="4"/>
        <v>5831</v>
      </c>
      <c r="E123" s="177" t="str">
        <f t="shared" si="5"/>
        <v>900035831</v>
      </c>
      <c r="F123" s="179">
        <v>900030298</v>
      </c>
      <c r="G123" s="260" t="s">
        <v>277</v>
      </c>
      <c r="H123" s="258"/>
      <c r="I123" s="258"/>
      <c r="J123" s="258"/>
      <c r="K123" s="258"/>
    </row>
    <row r="124" spans="1:11" x14ac:dyDescent="0.2">
      <c r="A124" s="252">
        <v>5832</v>
      </c>
      <c r="B124" s="260" t="s">
        <v>400</v>
      </c>
      <c r="C124" s="2" t="str">
        <f t="shared" si="6"/>
        <v>Kirchengemeinde Zotzenheim/ Welgesheim</v>
      </c>
      <c r="D124" s="177" t="str">
        <f t="shared" si="4"/>
        <v>5832</v>
      </c>
      <c r="E124" s="177" t="str">
        <f t="shared" si="5"/>
        <v>900035832</v>
      </c>
      <c r="F124" s="179">
        <v>900030298</v>
      </c>
      <c r="G124" s="260" t="s">
        <v>277</v>
      </c>
      <c r="H124" s="258"/>
      <c r="I124" s="258"/>
      <c r="J124" s="258"/>
      <c r="K124" s="258"/>
    </row>
    <row r="125" spans="1:11" x14ac:dyDescent="0.2">
      <c r="A125" s="252">
        <v>5833</v>
      </c>
      <c r="B125" s="260" t="s">
        <v>401</v>
      </c>
      <c r="C125" s="2" t="str">
        <f t="shared" si="6"/>
        <v>Kirchengemeinde Hackenheim</v>
      </c>
      <c r="D125" s="177" t="str">
        <f t="shared" si="4"/>
        <v>5833</v>
      </c>
      <c r="E125" s="177" t="str">
        <f t="shared" si="5"/>
        <v>900035833</v>
      </c>
      <c r="F125" s="179">
        <v>900030298</v>
      </c>
      <c r="G125" s="260" t="s">
        <v>277</v>
      </c>
      <c r="H125" s="258"/>
      <c r="I125" s="258"/>
      <c r="J125" s="258"/>
      <c r="K125" s="258"/>
    </row>
    <row r="126" spans="1:11" x14ac:dyDescent="0.2">
      <c r="A126" s="252">
        <v>5834</v>
      </c>
      <c r="B126" s="260" t="s">
        <v>402</v>
      </c>
      <c r="C126" s="2" t="str">
        <f t="shared" si="6"/>
        <v>Kirchengemeinde Badenheim/ Pleitersheim</v>
      </c>
      <c r="D126" s="177" t="str">
        <f t="shared" si="4"/>
        <v>5834</v>
      </c>
      <c r="E126" s="177" t="str">
        <f t="shared" si="5"/>
        <v>900035834</v>
      </c>
      <c r="F126" s="179">
        <v>900030298</v>
      </c>
      <c r="G126" s="260" t="s">
        <v>277</v>
      </c>
      <c r="H126" s="258"/>
      <c r="I126" s="258"/>
      <c r="J126" s="258"/>
      <c r="K126" s="258"/>
    </row>
    <row r="127" spans="1:11" x14ac:dyDescent="0.2">
      <c r="A127" s="252">
        <v>6502</v>
      </c>
      <c r="B127" s="260" t="s">
        <v>403</v>
      </c>
      <c r="C127" s="2" t="str">
        <f t="shared" si="6"/>
        <v>Kirchengemeinde Alsheim</v>
      </c>
      <c r="D127" s="177" t="str">
        <f t="shared" si="4"/>
        <v>6502</v>
      </c>
      <c r="E127" s="177" t="str">
        <f t="shared" si="5"/>
        <v>900036502</v>
      </c>
      <c r="F127" s="3">
        <v>900036598</v>
      </c>
      <c r="G127" s="261" t="s">
        <v>404</v>
      </c>
      <c r="H127" s="258"/>
      <c r="I127" s="258"/>
      <c r="J127" s="258"/>
      <c r="K127" s="258"/>
    </row>
    <row r="128" spans="1:11" x14ac:dyDescent="0.2">
      <c r="A128" s="252">
        <v>6503</v>
      </c>
      <c r="B128" s="260" t="s">
        <v>405</v>
      </c>
      <c r="C128" s="2" t="str">
        <f t="shared" si="6"/>
        <v>Kirchengemeinde Bechtheim</v>
      </c>
      <c r="D128" s="177" t="str">
        <f t="shared" si="4"/>
        <v>6503</v>
      </c>
      <c r="E128" s="177" t="str">
        <f t="shared" si="5"/>
        <v>900036503</v>
      </c>
      <c r="F128" s="3">
        <v>900036598</v>
      </c>
      <c r="G128" s="261" t="s">
        <v>404</v>
      </c>
      <c r="H128" s="258"/>
      <c r="I128" s="258"/>
      <c r="J128" s="258"/>
      <c r="K128" s="258"/>
    </row>
    <row r="129" spans="1:11" x14ac:dyDescent="0.2">
      <c r="A129" s="252">
        <v>6505</v>
      </c>
      <c r="B129" s="260" t="s">
        <v>406</v>
      </c>
      <c r="C129" s="2" t="str">
        <f t="shared" si="6"/>
        <v>Kirchengemeinde Bermersheim-Dalsheim</v>
      </c>
      <c r="D129" s="177" t="str">
        <f t="shared" si="4"/>
        <v>6505</v>
      </c>
      <c r="E129" s="177" t="str">
        <f t="shared" si="5"/>
        <v>900036505</v>
      </c>
      <c r="F129" s="3">
        <v>900036598</v>
      </c>
      <c r="G129" s="261" t="s">
        <v>404</v>
      </c>
      <c r="H129" s="258"/>
      <c r="I129" s="258"/>
      <c r="J129" s="258"/>
      <c r="K129" s="258"/>
    </row>
    <row r="130" spans="1:11" x14ac:dyDescent="0.2">
      <c r="A130" s="252">
        <v>6506</v>
      </c>
      <c r="B130" s="260" t="s">
        <v>407</v>
      </c>
      <c r="C130" s="2" t="str">
        <f t="shared" si="6"/>
        <v>Kirchengemeinde Dittelsheim-Heßloch/ Frettenheim</v>
      </c>
      <c r="D130" s="177" t="str">
        <f t="shared" ref="D130:D181" si="7">IF(LEN($A130)&lt;=4,LEFT(TEXT($A130,"0000"),4),LEFT(TEXT($A130,"000000"),4))</f>
        <v>6506</v>
      </c>
      <c r="E130" s="177" t="str">
        <f t="shared" ref="E130:E181" si="8">$M$1&amp;$D130</f>
        <v>900036506</v>
      </c>
      <c r="F130" s="3">
        <v>900036598</v>
      </c>
      <c r="G130" s="261" t="s">
        <v>404</v>
      </c>
      <c r="H130" s="258"/>
      <c r="I130" s="258"/>
      <c r="J130" s="258"/>
      <c r="K130" s="258"/>
    </row>
    <row r="131" spans="1:11" x14ac:dyDescent="0.2">
      <c r="A131" s="252">
        <v>6507</v>
      </c>
      <c r="B131" s="260" t="s">
        <v>408</v>
      </c>
      <c r="C131" s="2" t="str">
        <f t="shared" si="6"/>
        <v>Kirchengemeinde Dorn-Dürkheim/ Hillesheim Fr. Manz</v>
      </c>
      <c r="D131" s="177" t="str">
        <f t="shared" si="7"/>
        <v>6507</v>
      </c>
      <c r="E131" s="177" t="str">
        <f t="shared" si="8"/>
        <v>900036507</v>
      </c>
      <c r="F131" s="3">
        <v>900036598</v>
      </c>
      <c r="G131" s="261" t="s">
        <v>404</v>
      </c>
      <c r="H131" s="258"/>
      <c r="I131" s="258"/>
      <c r="J131" s="258"/>
      <c r="K131" s="258"/>
    </row>
    <row r="132" spans="1:11" x14ac:dyDescent="0.2">
      <c r="A132" s="252">
        <v>6508</v>
      </c>
      <c r="B132" s="260" t="s">
        <v>409</v>
      </c>
      <c r="C132" s="2" t="str">
        <f t="shared" si="6"/>
        <v>Kirchengemeinde Eich</v>
      </c>
      <c r="D132" s="177" t="str">
        <f t="shared" si="7"/>
        <v>6508</v>
      </c>
      <c r="E132" s="177" t="str">
        <f t="shared" si="8"/>
        <v>900036508</v>
      </c>
      <c r="F132" s="3">
        <v>900036598</v>
      </c>
      <c r="G132" s="261" t="s">
        <v>404</v>
      </c>
      <c r="H132" s="258"/>
      <c r="I132" s="258"/>
      <c r="J132" s="258"/>
      <c r="K132" s="258"/>
    </row>
    <row r="133" spans="1:11" x14ac:dyDescent="0.2">
      <c r="A133" s="252">
        <v>6509</v>
      </c>
      <c r="B133" s="260" t="s">
        <v>410</v>
      </c>
      <c r="C133" s="2" t="str">
        <f t="shared" si="6"/>
        <v>Kirchengemeinde Gimbsheim</v>
      </c>
      <c r="D133" s="177" t="str">
        <f t="shared" si="7"/>
        <v>6509</v>
      </c>
      <c r="E133" s="177" t="str">
        <f t="shared" si="8"/>
        <v>900036509</v>
      </c>
      <c r="F133" s="3">
        <v>900036598</v>
      </c>
      <c r="G133" s="261" t="s">
        <v>404</v>
      </c>
      <c r="H133" s="258"/>
      <c r="I133" s="258"/>
      <c r="J133" s="258"/>
      <c r="K133" s="258"/>
    </row>
    <row r="134" spans="1:11" x14ac:dyDescent="0.2">
      <c r="A134" s="252">
        <v>6510</v>
      </c>
      <c r="B134" s="260" t="s">
        <v>411</v>
      </c>
      <c r="C134" s="2" t="str">
        <f t="shared" si="6"/>
        <v>Kirchengemeinde Hamm und Ibersheim</v>
      </c>
      <c r="D134" s="177" t="str">
        <f t="shared" si="7"/>
        <v>6510</v>
      </c>
      <c r="E134" s="177" t="str">
        <f t="shared" si="8"/>
        <v>900036510</v>
      </c>
      <c r="F134" s="3">
        <v>900036598</v>
      </c>
      <c r="G134" s="261" t="s">
        <v>404</v>
      </c>
      <c r="H134" s="258"/>
      <c r="I134" s="258"/>
      <c r="J134" s="258"/>
      <c r="K134" s="258"/>
    </row>
    <row r="135" spans="1:11" x14ac:dyDescent="0.2">
      <c r="A135" s="252">
        <v>6511</v>
      </c>
      <c r="B135" s="260" t="s">
        <v>412</v>
      </c>
      <c r="C135" s="2" t="str">
        <f t="shared" si="6"/>
        <v>Kirchengemeinde Hohen-Sülzen</v>
      </c>
      <c r="D135" s="177" t="str">
        <f t="shared" si="7"/>
        <v>6511</v>
      </c>
      <c r="E135" s="177" t="str">
        <f t="shared" si="8"/>
        <v>900036511</v>
      </c>
      <c r="F135" s="3">
        <v>900036598</v>
      </c>
      <c r="G135" s="261" t="s">
        <v>404</v>
      </c>
      <c r="H135" s="258"/>
      <c r="I135" s="258"/>
      <c r="J135" s="258"/>
      <c r="K135" s="258"/>
    </row>
    <row r="136" spans="1:11" x14ac:dyDescent="0.2">
      <c r="A136" s="252">
        <v>6513</v>
      </c>
      <c r="B136" s="260" t="s">
        <v>413</v>
      </c>
      <c r="C136" s="2" t="str">
        <f t="shared" si="6"/>
        <v>Kirchengemeinde Kriegsheim</v>
      </c>
      <c r="D136" s="177" t="str">
        <f t="shared" si="7"/>
        <v>6513</v>
      </c>
      <c r="E136" s="177" t="str">
        <f t="shared" si="8"/>
        <v>900036513</v>
      </c>
      <c r="F136" s="3">
        <v>900036598</v>
      </c>
      <c r="G136" s="261" t="s">
        <v>404</v>
      </c>
      <c r="H136" s="258"/>
      <c r="I136" s="258"/>
      <c r="J136" s="258"/>
      <c r="K136" s="258"/>
    </row>
    <row r="137" spans="1:11" x14ac:dyDescent="0.2">
      <c r="A137" s="252">
        <v>6514</v>
      </c>
      <c r="B137" s="260" t="s">
        <v>414</v>
      </c>
      <c r="C137" s="2" t="str">
        <f t="shared" si="6"/>
        <v>Kirchengemeinde Mettenheim</v>
      </c>
      <c r="D137" s="177" t="str">
        <f t="shared" si="7"/>
        <v>6514</v>
      </c>
      <c r="E137" s="177" t="str">
        <f t="shared" si="8"/>
        <v>900036514</v>
      </c>
      <c r="F137" s="3">
        <v>900036598</v>
      </c>
      <c r="G137" s="261" t="s">
        <v>404</v>
      </c>
      <c r="H137" s="258"/>
      <c r="I137" s="258"/>
      <c r="J137" s="258"/>
      <c r="K137" s="258"/>
    </row>
    <row r="138" spans="1:11" x14ac:dyDescent="0.2">
      <c r="A138" s="252">
        <v>6516</v>
      </c>
      <c r="B138" s="260" t="s">
        <v>415</v>
      </c>
      <c r="C138" s="2" t="str">
        <f t="shared" si="6"/>
        <v>Kirchengemeinde Monsheim</v>
      </c>
      <c r="D138" s="177" t="str">
        <f t="shared" si="7"/>
        <v>6516</v>
      </c>
      <c r="E138" s="177" t="str">
        <f t="shared" si="8"/>
        <v>900036516</v>
      </c>
      <c r="F138" s="3">
        <v>900036598</v>
      </c>
      <c r="G138" s="261" t="s">
        <v>404</v>
      </c>
      <c r="H138" s="258"/>
      <c r="I138" s="258"/>
      <c r="J138" s="258"/>
      <c r="K138" s="258"/>
    </row>
    <row r="139" spans="1:11" x14ac:dyDescent="0.2">
      <c r="A139" s="252">
        <v>6517</v>
      </c>
      <c r="B139" s="260" t="s">
        <v>416</v>
      </c>
      <c r="C139" s="2" t="str">
        <f t="shared" si="6"/>
        <v>Kirchengemeinde Monzernheim</v>
      </c>
      <c r="D139" s="177" t="str">
        <f t="shared" si="7"/>
        <v>6517</v>
      </c>
      <c r="E139" s="177" t="str">
        <f t="shared" si="8"/>
        <v>900036517</v>
      </c>
      <c r="F139" s="3">
        <v>900036598</v>
      </c>
      <c r="G139" s="261" t="s">
        <v>404</v>
      </c>
      <c r="H139" s="258"/>
      <c r="I139" s="258"/>
      <c r="J139" s="258"/>
      <c r="K139" s="258"/>
    </row>
    <row r="140" spans="1:11" x14ac:dyDescent="0.2">
      <c r="A140" s="252">
        <v>6518</v>
      </c>
      <c r="B140" s="260" t="s">
        <v>417</v>
      </c>
      <c r="C140" s="2" t="str">
        <f t="shared" si="6"/>
        <v>Kirchengemeinde Mörstadt</v>
      </c>
      <c r="D140" s="177" t="str">
        <f t="shared" si="7"/>
        <v>6518</v>
      </c>
      <c r="E140" s="177" t="str">
        <f t="shared" si="8"/>
        <v>900036518</v>
      </c>
      <c r="F140" s="3">
        <v>900036598</v>
      </c>
      <c r="G140" s="261" t="s">
        <v>404</v>
      </c>
      <c r="H140" s="258"/>
      <c r="I140" s="258"/>
      <c r="J140" s="258"/>
      <c r="K140" s="258"/>
    </row>
    <row r="141" spans="1:11" x14ac:dyDescent="0.2">
      <c r="A141" s="252">
        <v>6519</v>
      </c>
      <c r="B141" s="260" t="s">
        <v>418</v>
      </c>
      <c r="C141" s="2" t="str">
        <f t="shared" si="6"/>
        <v>Kirchengemeinde Mölsheim-Nieder-Flörsheim</v>
      </c>
      <c r="D141" s="177" t="str">
        <f t="shared" si="7"/>
        <v>6519</v>
      </c>
      <c r="E141" s="177" t="str">
        <f t="shared" si="8"/>
        <v>900036519</v>
      </c>
      <c r="F141" s="3">
        <v>900036598</v>
      </c>
      <c r="G141" s="261" t="s">
        <v>404</v>
      </c>
      <c r="H141" s="258"/>
      <c r="I141" s="258"/>
      <c r="J141" s="258"/>
      <c r="K141" s="258"/>
    </row>
    <row r="142" spans="1:11" x14ac:dyDescent="0.2">
      <c r="A142" s="252">
        <v>6520</v>
      </c>
      <c r="B142" s="260" t="s">
        <v>419</v>
      </c>
      <c r="C142" s="2" t="str">
        <f t="shared" si="6"/>
        <v>Kirchengemeinde Osthofen</v>
      </c>
      <c r="D142" s="177" t="str">
        <f t="shared" si="7"/>
        <v>6520</v>
      </c>
      <c r="E142" s="177" t="str">
        <f t="shared" si="8"/>
        <v>900036520</v>
      </c>
      <c r="F142" s="3">
        <v>900036598</v>
      </c>
      <c r="G142" s="261" t="s">
        <v>404</v>
      </c>
      <c r="H142" s="258"/>
      <c r="I142" s="258"/>
      <c r="J142" s="258"/>
      <c r="K142" s="258"/>
    </row>
    <row r="143" spans="1:11" x14ac:dyDescent="0.2">
      <c r="A143" s="252">
        <v>6521</v>
      </c>
      <c r="B143" s="260" t="s">
        <v>420</v>
      </c>
      <c r="C143" s="2" t="str">
        <f t="shared" si="6"/>
        <v>Kirchengemeinde Rheindürkheim</v>
      </c>
      <c r="D143" s="177" t="str">
        <f t="shared" si="7"/>
        <v>6521</v>
      </c>
      <c r="E143" s="177" t="str">
        <f t="shared" si="8"/>
        <v>900036521</v>
      </c>
      <c r="F143" s="3">
        <v>900036598</v>
      </c>
      <c r="G143" s="261" t="s">
        <v>404</v>
      </c>
      <c r="H143" s="258"/>
      <c r="I143" s="258"/>
      <c r="J143" s="258"/>
      <c r="K143" s="258"/>
    </row>
    <row r="144" spans="1:11" x14ac:dyDescent="0.2">
      <c r="A144" s="252">
        <v>6522</v>
      </c>
      <c r="B144" s="260" t="s">
        <v>421</v>
      </c>
      <c r="C144" s="2" t="str">
        <f t="shared" si="6"/>
        <v>Kirchengemeinde Wachenheim</v>
      </c>
      <c r="D144" s="177" t="str">
        <f t="shared" si="7"/>
        <v>6522</v>
      </c>
      <c r="E144" s="177" t="str">
        <f t="shared" si="8"/>
        <v>900036522</v>
      </c>
      <c r="F144" s="3">
        <v>900036598</v>
      </c>
      <c r="G144" s="261" t="s">
        <v>404</v>
      </c>
      <c r="H144" s="258"/>
      <c r="I144" s="258"/>
      <c r="J144" s="258"/>
      <c r="K144" s="258"/>
    </row>
    <row r="145" spans="1:11" x14ac:dyDescent="0.2">
      <c r="A145" s="252">
        <v>6523</v>
      </c>
      <c r="B145" s="260" t="s">
        <v>422</v>
      </c>
      <c r="C145" s="2" t="str">
        <f t="shared" si="6"/>
        <v>Kirchengemeinde Westhofen</v>
      </c>
      <c r="D145" s="177" t="str">
        <f t="shared" si="7"/>
        <v>6523</v>
      </c>
      <c r="E145" s="177" t="str">
        <f t="shared" si="8"/>
        <v>900036523</v>
      </c>
      <c r="F145" s="3">
        <v>900036598</v>
      </c>
      <c r="G145" s="261" t="s">
        <v>404</v>
      </c>
      <c r="H145" s="258"/>
      <c r="I145" s="258"/>
      <c r="J145" s="258"/>
      <c r="K145" s="258"/>
    </row>
    <row r="146" spans="1:11" x14ac:dyDescent="0.2">
      <c r="A146" s="252">
        <v>6524</v>
      </c>
      <c r="B146" s="260" t="s">
        <v>423</v>
      </c>
      <c r="C146" s="2" t="str">
        <f t="shared" si="6"/>
        <v>Kirchengemeinde Pfeddersheim</v>
      </c>
      <c r="D146" s="177" t="str">
        <f t="shared" si="7"/>
        <v>6524</v>
      </c>
      <c r="E146" s="177" t="str">
        <f t="shared" si="8"/>
        <v>900036524</v>
      </c>
      <c r="F146" s="3">
        <v>900036598</v>
      </c>
      <c r="G146" s="261" t="s">
        <v>404</v>
      </c>
      <c r="H146" s="258"/>
      <c r="I146" s="258"/>
      <c r="J146" s="258"/>
      <c r="K146" s="258"/>
    </row>
    <row r="147" spans="1:11" x14ac:dyDescent="0.2">
      <c r="A147" s="252">
        <v>6525</v>
      </c>
      <c r="B147" s="260" t="s">
        <v>424</v>
      </c>
      <c r="C147" s="2" t="str">
        <f t="shared" si="6"/>
        <v>Dreifaltigkeitsgemeinde Worms</v>
      </c>
      <c r="D147" s="177" t="str">
        <f t="shared" si="7"/>
        <v>6525</v>
      </c>
      <c r="E147" s="177" t="str">
        <f t="shared" si="8"/>
        <v>900036525</v>
      </c>
      <c r="F147" s="3">
        <v>900036598</v>
      </c>
      <c r="G147" s="261" t="s">
        <v>404</v>
      </c>
      <c r="H147" s="258"/>
      <c r="I147" s="258"/>
      <c r="J147" s="258"/>
      <c r="K147" s="258"/>
    </row>
    <row r="148" spans="1:11" x14ac:dyDescent="0.2">
      <c r="A148" s="252">
        <v>6526</v>
      </c>
      <c r="B148" s="260" t="s">
        <v>425</v>
      </c>
      <c r="C148" s="2" t="str">
        <f t="shared" si="6"/>
        <v>Kirchengemeinde Worms-Friedrichsgemeinde</v>
      </c>
      <c r="D148" s="177" t="str">
        <f t="shared" si="7"/>
        <v>6526</v>
      </c>
      <c r="E148" s="177" t="str">
        <f t="shared" si="8"/>
        <v>900036526</v>
      </c>
      <c r="F148" s="3">
        <v>900036598</v>
      </c>
      <c r="G148" s="261" t="s">
        <v>404</v>
      </c>
      <c r="H148" s="258"/>
      <c r="I148" s="258"/>
      <c r="J148" s="258"/>
      <c r="K148" s="258"/>
    </row>
    <row r="149" spans="1:11" x14ac:dyDescent="0.2">
      <c r="A149" s="252">
        <v>6527</v>
      </c>
      <c r="B149" s="260" t="s">
        <v>426</v>
      </c>
      <c r="C149" s="2" t="str">
        <f t="shared" ref="C149:C162" si="9">MID(B149,5,100)</f>
        <v>Kirchengemeinde Worms-Heppenheim</v>
      </c>
      <c r="D149" s="177" t="str">
        <f t="shared" si="7"/>
        <v>6527</v>
      </c>
      <c r="E149" s="177" t="str">
        <f t="shared" si="8"/>
        <v>900036527</v>
      </c>
      <c r="F149" s="3">
        <v>900036598</v>
      </c>
      <c r="G149" s="261" t="s">
        <v>404</v>
      </c>
      <c r="H149" s="258"/>
      <c r="I149" s="258"/>
      <c r="J149" s="258"/>
      <c r="K149" s="258"/>
    </row>
    <row r="150" spans="1:11" x14ac:dyDescent="0.2">
      <c r="A150" s="252">
        <v>6528</v>
      </c>
      <c r="B150" s="260" t="s">
        <v>427</v>
      </c>
      <c r="C150" s="2" t="str">
        <f t="shared" si="9"/>
        <v>Kirchengemeinde Offstein</v>
      </c>
      <c r="D150" s="177" t="str">
        <f t="shared" si="7"/>
        <v>6528</v>
      </c>
      <c r="E150" s="177" t="str">
        <f t="shared" si="8"/>
        <v>900036528</v>
      </c>
      <c r="F150" s="3">
        <v>900036598</v>
      </c>
      <c r="G150" s="261" t="s">
        <v>404</v>
      </c>
      <c r="H150" s="258"/>
      <c r="I150" s="258"/>
      <c r="J150" s="258"/>
      <c r="K150" s="258"/>
    </row>
    <row r="151" spans="1:11" x14ac:dyDescent="0.2">
      <c r="A151" s="252">
        <v>6529</v>
      </c>
      <c r="B151" s="251" t="s">
        <v>428</v>
      </c>
      <c r="C151" s="176" t="str">
        <f t="shared" si="9"/>
        <v>Kirchengemeinde Worms-Herrnsheim</v>
      </c>
      <c r="D151" s="177" t="str">
        <f t="shared" si="7"/>
        <v>6529</v>
      </c>
      <c r="E151" s="177" t="str">
        <f t="shared" si="8"/>
        <v>900036529</v>
      </c>
      <c r="F151" s="177">
        <v>900036598</v>
      </c>
      <c r="G151" s="254" t="s">
        <v>404</v>
      </c>
      <c r="H151" s="258"/>
      <c r="I151" s="258"/>
      <c r="J151" s="258"/>
      <c r="K151" s="258"/>
    </row>
    <row r="152" spans="1:11" x14ac:dyDescent="0.2">
      <c r="A152" s="252">
        <v>6530</v>
      </c>
      <c r="B152" s="260" t="s">
        <v>429</v>
      </c>
      <c r="C152" s="2" t="str">
        <f t="shared" si="9"/>
        <v>Kirchengemeinde Worms-Hochheim</v>
      </c>
      <c r="D152" s="177" t="str">
        <f t="shared" si="7"/>
        <v>6530</v>
      </c>
      <c r="E152" s="177" t="str">
        <f t="shared" si="8"/>
        <v>900036530</v>
      </c>
      <c r="F152" s="3">
        <v>900036598</v>
      </c>
      <c r="G152" s="261" t="s">
        <v>404</v>
      </c>
      <c r="H152" s="258"/>
      <c r="I152" s="258"/>
      <c r="J152" s="258"/>
      <c r="K152" s="258"/>
    </row>
    <row r="153" spans="1:11" x14ac:dyDescent="0.2">
      <c r="A153" s="252">
        <v>6531</v>
      </c>
      <c r="B153" s="260" t="s">
        <v>430</v>
      </c>
      <c r="C153" s="2" t="str">
        <f t="shared" si="9"/>
        <v>Kirchengemeinde Worms-Horchheim</v>
      </c>
      <c r="D153" s="177" t="str">
        <f t="shared" si="7"/>
        <v>6531</v>
      </c>
      <c r="E153" s="177" t="str">
        <f t="shared" si="8"/>
        <v>900036531</v>
      </c>
      <c r="F153" s="3">
        <v>900036598</v>
      </c>
      <c r="G153" s="261" t="s">
        <v>404</v>
      </c>
      <c r="H153" s="258"/>
      <c r="I153" s="258"/>
      <c r="J153" s="258"/>
      <c r="K153" s="258"/>
    </row>
    <row r="154" spans="1:11" x14ac:dyDescent="0.2">
      <c r="A154" s="252">
        <v>6532</v>
      </c>
      <c r="B154" s="260" t="s">
        <v>431</v>
      </c>
      <c r="C154" s="2" t="str">
        <f t="shared" si="9"/>
        <v>Kirchengemeinde Worms-Leiselheim</v>
      </c>
      <c r="D154" s="177" t="str">
        <f t="shared" si="7"/>
        <v>6532</v>
      </c>
      <c r="E154" s="177" t="str">
        <f t="shared" si="8"/>
        <v>900036532</v>
      </c>
      <c r="F154" s="3">
        <v>900036598</v>
      </c>
      <c r="G154" s="261" t="s">
        <v>404</v>
      </c>
      <c r="H154" s="258"/>
      <c r="I154" s="258"/>
      <c r="J154" s="258"/>
      <c r="K154" s="258"/>
    </row>
    <row r="155" spans="1:11" x14ac:dyDescent="0.2">
      <c r="A155" s="252">
        <v>6533</v>
      </c>
      <c r="B155" s="260" t="s">
        <v>432</v>
      </c>
      <c r="C155" s="2" t="str">
        <f t="shared" si="9"/>
        <v>Kirchengemeinde Worms-Neuhausen-Versöhnungsg.</v>
      </c>
      <c r="D155" s="177" t="str">
        <f t="shared" si="7"/>
        <v>6533</v>
      </c>
      <c r="E155" s="177" t="str">
        <f t="shared" si="8"/>
        <v>900036533</v>
      </c>
      <c r="F155" s="3">
        <v>900036598</v>
      </c>
      <c r="G155" s="261" t="s">
        <v>404</v>
      </c>
      <c r="H155" s="258"/>
      <c r="I155" s="258"/>
      <c r="J155" s="258"/>
      <c r="K155" s="258"/>
    </row>
    <row r="156" spans="1:11" x14ac:dyDescent="0.2">
      <c r="A156" s="252">
        <v>6534</v>
      </c>
      <c r="B156" s="260" t="s">
        <v>433</v>
      </c>
      <c r="C156" s="2" t="str">
        <f t="shared" si="9"/>
        <v>Kirchengemeinde Worms-Pfiffligheim</v>
      </c>
      <c r="D156" s="177" t="str">
        <f t="shared" si="7"/>
        <v>6534</v>
      </c>
      <c r="E156" s="177" t="str">
        <f t="shared" si="8"/>
        <v>900036534</v>
      </c>
      <c r="F156" s="3">
        <v>900036598</v>
      </c>
      <c r="G156" s="261" t="s">
        <v>404</v>
      </c>
      <c r="H156" s="258"/>
      <c r="I156" s="258"/>
      <c r="J156" s="258"/>
      <c r="K156" s="258"/>
    </row>
    <row r="157" spans="1:11" x14ac:dyDescent="0.2">
      <c r="A157" s="252">
        <v>6535</v>
      </c>
      <c r="B157" s="260" t="s">
        <v>434</v>
      </c>
      <c r="C157" s="2" t="str">
        <f t="shared" si="9"/>
        <v>Kirchengemeinde Worms-Rosengarten</v>
      </c>
      <c r="D157" s="177" t="str">
        <f t="shared" si="7"/>
        <v>6535</v>
      </c>
      <c r="E157" s="177" t="str">
        <f t="shared" si="8"/>
        <v>900036535</v>
      </c>
      <c r="F157" s="3">
        <v>900036598</v>
      </c>
      <c r="G157" s="261" t="s">
        <v>404</v>
      </c>
      <c r="H157" s="258"/>
      <c r="I157" s="258"/>
      <c r="J157" s="258"/>
      <c r="K157" s="258"/>
    </row>
    <row r="158" spans="1:11" x14ac:dyDescent="0.2">
      <c r="A158" s="252">
        <v>6536</v>
      </c>
      <c r="B158" s="260" t="s">
        <v>435</v>
      </c>
      <c r="C158" s="2" t="str">
        <f t="shared" si="9"/>
        <v>Kirchengemeinde Worms Lukasgemeinde</v>
      </c>
      <c r="D158" s="177" t="str">
        <f t="shared" si="7"/>
        <v>6536</v>
      </c>
      <c r="E158" s="177" t="str">
        <f t="shared" si="8"/>
        <v>900036536</v>
      </c>
      <c r="F158" s="3">
        <v>900036598</v>
      </c>
      <c r="G158" s="261" t="s">
        <v>404</v>
      </c>
      <c r="H158" s="258"/>
      <c r="I158" s="258"/>
      <c r="J158" s="258"/>
      <c r="K158" s="258"/>
    </row>
    <row r="159" spans="1:11" x14ac:dyDescent="0.2">
      <c r="A159" s="252">
        <v>6537</v>
      </c>
      <c r="B159" s="260" t="s">
        <v>436</v>
      </c>
      <c r="C159" s="2" t="str">
        <f t="shared" si="9"/>
        <v>Kirchengemeinde Worms Luthergemeinde</v>
      </c>
      <c r="D159" s="177" t="str">
        <f t="shared" si="7"/>
        <v>6537</v>
      </c>
      <c r="E159" s="177" t="str">
        <f t="shared" si="8"/>
        <v>900036537</v>
      </c>
      <c r="F159" s="3">
        <v>900036598</v>
      </c>
      <c r="G159" s="261" t="s">
        <v>404</v>
      </c>
      <c r="H159" s="258"/>
      <c r="I159" s="258"/>
      <c r="J159" s="258"/>
      <c r="K159" s="258"/>
    </row>
    <row r="160" spans="1:11" x14ac:dyDescent="0.2">
      <c r="A160" s="252">
        <v>6538</v>
      </c>
      <c r="B160" s="251" t="s">
        <v>437</v>
      </c>
      <c r="C160" s="176" t="str">
        <f t="shared" si="9"/>
        <v>Magnus- und Matthäusgemeinde Worms</v>
      </c>
      <c r="D160" s="177" t="str">
        <f t="shared" si="7"/>
        <v>6538</v>
      </c>
      <c r="E160" s="177" t="str">
        <f t="shared" si="8"/>
        <v>900036538</v>
      </c>
      <c r="F160" s="177">
        <v>900036598</v>
      </c>
      <c r="G160" s="254" t="s">
        <v>404</v>
      </c>
      <c r="H160" s="258"/>
      <c r="I160" s="258"/>
      <c r="J160" s="258"/>
      <c r="K160" s="258"/>
    </row>
    <row r="161" spans="1:11" x14ac:dyDescent="0.2">
      <c r="A161" s="252">
        <v>6598</v>
      </c>
      <c r="B161" s="191" t="s">
        <v>438</v>
      </c>
      <c r="C161" s="2" t="str">
        <f t="shared" si="9"/>
        <v>Dekanat Worms-Wonnegau</v>
      </c>
      <c r="D161" s="177" t="str">
        <f t="shared" si="7"/>
        <v>6598</v>
      </c>
      <c r="E161" s="177" t="str">
        <f t="shared" si="8"/>
        <v>900036598</v>
      </c>
      <c r="F161" s="3">
        <v>900036598</v>
      </c>
      <c r="G161" s="261" t="s">
        <v>404</v>
      </c>
      <c r="H161" s="258"/>
      <c r="I161" s="258"/>
      <c r="J161" s="258"/>
      <c r="K161" s="258"/>
    </row>
    <row r="162" spans="1:11" x14ac:dyDescent="0.2">
      <c r="A162" s="252">
        <v>9160</v>
      </c>
      <c r="B162" s="191" t="s">
        <v>439</v>
      </c>
      <c r="C162" s="2" t="str">
        <f t="shared" si="9"/>
        <v>Gesamtgemeinde Worms</v>
      </c>
      <c r="D162" s="177" t="str">
        <f t="shared" si="7"/>
        <v>9160</v>
      </c>
      <c r="E162" s="177" t="str">
        <f t="shared" si="8"/>
        <v>900039160</v>
      </c>
      <c r="F162" s="3">
        <v>900036598</v>
      </c>
      <c r="G162" s="261" t="s">
        <v>404</v>
      </c>
      <c r="H162" s="258"/>
      <c r="I162" s="258"/>
      <c r="J162" s="258"/>
      <c r="K162" s="258"/>
    </row>
    <row r="163" spans="1:11" x14ac:dyDescent="0.2">
      <c r="A163" s="252">
        <v>9901</v>
      </c>
      <c r="B163" s="253" t="s">
        <v>440</v>
      </c>
      <c r="C163" s="255" t="str">
        <f>B163</f>
        <v>Stiftung "Auf dem Weg"</v>
      </c>
      <c r="D163" s="177" t="str">
        <f t="shared" si="7"/>
        <v>9901</v>
      </c>
      <c r="E163" s="177" t="str">
        <f t="shared" si="8"/>
        <v>900039901</v>
      </c>
      <c r="F163" s="3">
        <v>900036598</v>
      </c>
      <c r="G163" s="261" t="s">
        <v>314</v>
      </c>
      <c r="H163" s="258"/>
      <c r="I163" s="258"/>
      <c r="J163" s="258"/>
      <c r="K163" s="258"/>
    </row>
    <row r="164" spans="1:11" x14ac:dyDescent="0.2">
      <c r="A164" s="252">
        <v>9902</v>
      </c>
      <c r="B164" s="253" t="s">
        <v>441</v>
      </c>
      <c r="C164" s="255" t="str">
        <f t="shared" ref="C164:C181" si="10">B164</f>
        <v>Stiftung "Herztat"</v>
      </c>
      <c r="D164" s="177" t="str">
        <f t="shared" si="7"/>
        <v>9902</v>
      </c>
      <c r="E164" s="177" t="str">
        <f t="shared" si="8"/>
        <v>900039902</v>
      </c>
      <c r="F164" s="3">
        <v>900036598</v>
      </c>
      <c r="G164" s="261" t="s">
        <v>404</v>
      </c>
      <c r="H164" s="258"/>
      <c r="I164" s="258"/>
      <c r="J164" s="258"/>
      <c r="K164" s="258"/>
    </row>
    <row r="165" spans="1:11" x14ac:dyDescent="0.2">
      <c r="A165" s="252">
        <v>9903</v>
      </c>
      <c r="B165" s="253" t="s">
        <v>442</v>
      </c>
      <c r="C165" s="255" t="str">
        <f t="shared" si="10"/>
        <v>Stiftung "Brote und Fische"</v>
      </c>
      <c r="D165" s="177" t="str">
        <f t="shared" si="7"/>
        <v>9903</v>
      </c>
      <c r="E165" s="177" t="str">
        <f t="shared" si="8"/>
        <v>900039903</v>
      </c>
      <c r="F165" s="3">
        <v>900036598</v>
      </c>
      <c r="G165" s="261" t="s">
        <v>339</v>
      </c>
      <c r="H165" s="258"/>
      <c r="I165" s="258"/>
      <c r="J165" s="258"/>
      <c r="K165" s="258"/>
    </row>
    <row r="166" spans="1:11" x14ac:dyDescent="0.2">
      <c r="A166" s="252">
        <v>9904</v>
      </c>
      <c r="B166" s="253" t="s">
        <v>443</v>
      </c>
      <c r="C166" s="255" t="str">
        <f t="shared" si="10"/>
        <v>Emmausgemeinde-Stiftung</v>
      </c>
      <c r="D166" s="177" t="str">
        <f t="shared" si="7"/>
        <v>9904</v>
      </c>
      <c r="E166" s="177" t="str">
        <f t="shared" si="8"/>
        <v>900039904</v>
      </c>
      <c r="F166" s="3">
        <v>900036598</v>
      </c>
      <c r="G166" s="261" t="s">
        <v>339</v>
      </c>
      <c r="H166" s="258"/>
      <c r="I166" s="258"/>
      <c r="J166" s="258"/>
      <c r="K166" s="258"/>
    </row>
    <row r="167" spans="1:11" x14ac:dyDescent="0.2">
      <c r="A167" s="252">
        <v>9905</v>
      </c>
      <c r="B167" s="253" t="s">
        <v>444</v>
      </c>
      <c r="C167" s="255" t="str">
        <f t="shared" si="10"/>
        <v>Stiftung Ev. Kgm. MZ-Gonsenheim</v>
      </c>
      <c r="D167" s="177" t="str">
        <f t="shared" si="7"/>
        <v>9905</v>
      </c>
      <c r="E167" s="177" t="str">
        <f t="shared" si="8"/>
        <v>900039905</v>
      </c>
      <c r="F167" s="3">
        <v>900036598</v>
      </c>
      <c r="G167" s="261" t="s">
        <v>339</v>
      </c>
      <c r="H167" s="258"/>
      <c r="I167" s="258"/>
      <c r="J167" s="258"/>
      <c r="K167" s="258"/>
    </row>
    <row r="168" spans="1:11" x14ac:dyDescent="0.2">
      <c r="A168" s="252">
        <v>9906</v>
      </c>
      <c r="B168" s="253" t="s">
        <v>445</v>
      </c>
      <c r="C168" s="255" t="str">
        <f t="shared" si="10"/>
        <v>Ev. Rebenstiftung Mainz</v>
      </c>
      <c r="D168" s="177" t="str">
        <f t="shared" si="7"/>
        <v>9906</v>
      </c>
      <c r="E168" s="177" t="str">
        <f t="shared" si="8"/>
        <v>900039906</v>
      </c>
      <c r="F168" s="3">
        <v>900036598</v>
      </c>
      <c r="G168" s="261" t="s">
        <v>339</v>
      </c>
      <c r="H168" s="258"/>
      <c r="I168" s="258"/>
      <c r="J168" s="258"/>
      <c r="K168" s="258"/>
    </row>
    <row r="169" spans="1:11" x14ac:dyDescent="0.2">
      <c r="A169" s="252">
        <v>9907</v>
      </c>
      <c r="B169" s="253" t="s">
        <v>446</v>
      </c>
      <c r="C169" s="255" t="str">
        <f t="shared" si="10"/>
        <v>Ev. Philippus-Stiftung</v>
      </c>
      <c r="D169" s="177" t="str">
        <f t="shared" si="7"/>
        <v>9907</v>
      </c>
      <c r="E169" s="177" t="str">
        <f t="shared" si="8"/>
        <v>900039907</v>
      </c>
      <c r="F169" s="3">
        <v>900036598</v>
      </c>
      <c r="G169" s="261" t="s">
        <v>339</v>
      </c>
      <c r="H169" s="258"/>
      <c r="I169" s="258"/>
      <c r="J169" s="258"/>
      <c r="K169" s="258"/>
    </row>
    <row r="170" spans="1:11" x14ac:dyDescent="0.2">
      <c r="A170" s="252">
        <v>9908</v>
      </c>
      <c r="B170" s="253" t="s">
        <v>447</v>
      </c>
      <c r="C170" s="255" t="str">
        <f t="shared" si="10"/>
        <v>Stiftung "Evangelisches Mainz"</v>
      </c>
      <c r="D170" s="177" t="str">
        <f t="shared" si="7"/>
        <v>9908</v>
      </c>
      <c r="E170" s="177" t="str">
        <f t="shared" si="8"/>
        <v>900039908</v>
      </c>
      <c r="F170" s="3">
        <v>900036598</v>
      </c>
      <c r="G170" s="261" t="s">
        <v>339</v>
      </c>
      <c r="H170" s="258"/>
      <c r="I170" s="258"/>
      <c r="J170" s="258"/>
      <c r="K170" s="258"/>
    </row>
    <row r="171" spans="1:11" x14ac:dyDescent="0.2">
      <c r="A171" s="252">
        <v>9909</v>
      </c>
      <c r="B171" s="253" t="s">
        <v>448</v>
      </c>
      <c r="C171" s="255" t="str">
        <f t="shared" si="10"/>
        <v>Stiftung Friedenskirche</v>
      </c>
      <c r="D171" s="177" t="str">
        <f t="shared" si="7"/>
        <v>9909</v>
      </c>
      <c r="E171" s="177" t="str">
        <f t="shared" si="8"/>
        <v>900039909</v>
      </c>
      <c r="F171" s="3">
        <v>900036598</v>
      </c>
      <c r="G171" s="261" t="s">
        <v>339</v>
      </c>
      <c r="H171" s="258"/>
      <c r="I171" s="258"/>
      <c r="J171" s="258"/>
      <c r="K171" s="258"/>
    </row>
    <row r="172" spans="1:11" x14ac:dyDescent="0.2">
      <c r="A172" s="252">
        <v>9910</v>
      </c>
      <c r="B172" s="253" t="s">
        <v>449</v>
      </c>
      <c r="C172" s="255" t="str">
        <f t="shared" si="10"/>
        <v>Adolf-Goertz-Stiftung</v>
      </c>
      <c r="D172" s="177" t="str">
        <f t="shared" si="7"/>
        <v>9910</v>
      </c>
      <c r="E172" s="177" t="str">
        <f t="shared" si="8"/>
        <v>900039910</v>
      </c>
      <c r="F172" s="3">
        <v>900036598</v>
      </c>
      <c r="G172" s="261" t="s">
        <v>339</v>
      </c>
      <c r="H172" s="258"/>
      <c r="I172" s="258"/>
      <c r="J172" s="258"/>
      <c r="K172" s="258"/>
    </row>
    <row r="173" spans="1:11" x14ac:dyDescent="0.2">
      <c r="A173" s="252">
        <v>9911</v>
      </c>
      <c r="B173" s="253" t="s">
        <v>450</v>
      </c>
      <c r="C173" s="255" t="str">
        <f t="shared" si="10"/>
        <v>Stiftung Karin Eckert und Paula Ludwig</v>
      </c>
      <c r="D173" s="177" t="str">
        <f t="shared" si="7"/>
        <v>9911</v>
      </c>
      <c r="E173" s="177" t="str">
        <f t="shared" si="8"/>
        <v>900039911</v>
      </c>
      <c r="F173" s="3">
        <v>900036598</v>
      </c>
      <c r="G173" s="261" t="s">
        <v>339</v>
      </c>
      <c r="H173" s="258"/>
      <c r="I173" s="258"/>
      <c r="J173" s="258"/>
      <c r="K173" s="258"/>
    </row>
    <row r="174" spans="1:11" x14ac:dyDescent="0.2">
      <c r="A174" s="252">
        <v>9912</v>
      </c>
      <c r="B174" s="253" t="s">
        <v>451</v>
      </c>
      <c r="C174" s="255" t="str">
        <f t="shared" si="10"/>
        <v>Kirchenstiftung Guntersblum</v>
      </c>
      <c r="D174" s="177" t="str">
        <f t="shared" si="7"/>
        <v>9912</v>
      </c>
      <c r="E174" s="177" t="str">
        <f t="shared" si="8"/>
        <v>900039912</v>
      </c>
      <c r="F174" s="3">
        <v>900036598</v>
      </c>
      <c r="G174" s="261" t="s">
        <v>314</v>
      </c>
      <c r="H174" s="258"/>
      <c r="I174" s="258"/>
      <c r="J174" s="258"/>
      <c r="K174" s="258"/>
    </row>
    <row r="175" spans="1:11" x14ac:dyDescent="0.2">
      <c r="A175" s="252">
        <v>9913</v>
      </c>
      <c r="B175" s="253" t="s">
        <v>452</v>
      </c>
      <c r="C175" s="255" t="str">
        <f t="shared" si="10"/>
        <v>Stiftung "Mertensstiftung"</v>
      </c>
      <c r="D175" s="177" t="str">
        <f t="shared" si="7"/>
        <v>9913</v>
      </c>
      <c r="E175" s="177" t="str">
        <f t="shared" si="8"/>
        <v>900039913</v>
      </c>
      <c r="F175" s="3">
        <v>900036598</v>
      </c>
      <c r="G175" s="260" t="s">
        <v>277</v>
      </c>
      <c r="H175" s="258"/>
      <c r="I175" s="258"/>
      <c r="J175" s="258"/>
      <c r="K175" s="258"/>
    </row>
    <row r="176" spans="1:11" x14ac:dyDescent="0.2">
      <c r="A176" s="252">
        <v>9914</v>
      </c>
      <c r="B176" s="253" t="s">
        <v>453</v>
      </c>
      <c r="C176" s="255" t="str">
        <f t="shared" si="10"/>
        <v>Zweckverband Diakonie Ingelheim</v>
      </c>
      <c r="D176" s="177" t="str">
        <f t="shared" si="7"/>
        <v>9914</v>
      </c>
      <c r="E176" s="177" t="str">
        <f t="shared" si="8"/>
        <v>900039914</v>
      </c>
      <c r="F176" s="3">
        <v>900036598</v>
      </c>
      <c r="G176" s="261" t="s">
        <v>314</v>
      </c>
      <c r="H176" s="258"/>
      <c r="I176" s="258"/>
      <c r="J176" s="258"/>
      <c r="K176" s="258"/>
    </row>
    <row r="177" spans="1:11" x14ac:dyDescent="0.2">
      <c r="A177" s="252">
        <v>9915</v>
      </c>
      <c r="B177" s="253" t="s">
        <v>454</v>
      </c>
      <c r="C177" s="255" t="str">
        <f t="shared" si="10"/>
        <v>AG Jugend in Rheinhessen</v>
      </c>
      <c r="D177" s="177" t="str">
        <f t="shared" si="7"/>
        <v>9915</v>
      </c>
      <c r="E177" s="177" t="str">
        <f t="shared" si="8"/>
        <v>900039915</v>
      </c>
      <c r="F177" s="3">
        <v>900036598</v>
      </c>
      <c r="G177" s="261" t="s">
        <v>339</v>
      </c>
      <c r="H177" s="258"/>
      <c r="I177" s="258"/>
      <c r="J177" s="258"/>
      <c r="K177" s="258"/>
    </row>
    <row r="178" spans="1:11" x14ac:dyDescent="0.2">
      <c r="A178" s="252">
        <v>9916</v>
      </c>
      <c r="B178" s="253" t="s">
        <v>455</v>
      </c>
      <c r="C178" s="255" t="str">
        <f t="shared" si="10"/>
        <v>Zweckverb. Ev. Sozialst. Nierstein</v>
      </c>
      <c r="D178" s="177" t="str">
        <f t="shared" si="7"/>
        <v>9916</v>
      </c>
      <c r="E178" s="177" t="str">
        <f t="shared" si="8"/>
        <v>900039916</v>
      </c>
      <c r="F178" s="3">
        <v>900036598</v>
      </c>
      <c r="G178" s="261" t="s">
        <v>314</v>
      </c>
      <c r="H178" s="258"/>
      <c r="I178" s="258"/>
      <c r="J178" s="258"/>
      <c r="K178" s="258"/>
    </row>
    <row r="179" spans="1:11" x14ac:dyDescent="0.2">
      <c r="A179" s="252">
        <v>9917</v>
      </c>
      <c r="B179" s="253" t="s">
        <v>456</v>
      </c>
      <c r="C179" s="255" t="str">
        <f t="shared" si="10"/>
        <v>Rheinhessischer Baufonds II</v>
      </c>
      <c r="D179" s="177" t="str">
        <f t="shared" si="7"/>
        <v>9917</v>
      </c>
      <c r="E179" s="177" t="str">
        <f t="shared" si="8"/>
        <v>900039917</v>
      </c>
      <c r="F179" s="177">
        <v>900036598</v>
      </c>
      <c r="G179" s="254"/>
      <c r="H179" s="258"/>
      <c r="I179" s="258"/>
      <c r="J179" s="258"/>
      <c r="K179" s="258"/>
    </row>
    <row r="180" spans="1:11" x14ac:dyDescent="0.2">
      <c r="A180" s="252">
        <v>9951</v>
      </c>
      <c r="B180" s="253" t="s">
        <v>457</v>
      </c>
      <c r="C180" s="255" t="str">
        <f t="shared" si="10"/>
        <v>Starenkasten-KGM Hochheim</v>
      </c>
      <c r="D180" s="177" t="str">
        <f t="shared" si="7"/>
        <v>9951</v>
      </c>
      <c r="E180" s="177" t="str">
        <f t="shared" si="8"/>
        <v>900039951</v>
      </c>
      <c r="F180" s="177">
        <v>900036598</v>
      </c>
      <c r="G180" s="254" t="s">
        <v>404</v>
      </c>
      <c r="H180" s="258"/>
      <c r="I180" s="258"/>
      <c r="J180" s="258"/>
      <c r="K180" s="258"/>
    </row>
    <row r="181" spans="1:11" x14ac:dyDescent="0.2">
      <c r="A181" s="252">
        <v>9952</v>
      </c>
      <c r="B181" s="253" t="s">
        <v>458</v>
      </c>
      <c r="C181" s="255" t="str">
        <f t="shared" si="10"/>
        <v>BGA RV-RV Rheinhessen</v>
      </c>
      <c r="D181" s="177" t="str">
        <f t="shared" si="7"/>
        <v>9952</v>
      </c>
      <c r="E181" s="177" t="str">
        <f t="shared" si="8"/>
        <v>900039952</v>
      </c>
      <c r="F181" s="177"/>
      <c r="G181" s="254"/>
      <c r="H181" s="258"/>
      <c r="I181" s="258"/>
      <c r="J181" s="258"/>
      <c r="K181" s="258"/>
    </row>
    <row r="182" spans="1:11" x14ac:dyDescent="0.2">
      <c r="A182" s="256">
        <v>29800</v>
      </c>
      <c r="B182" s="260" t="s">
        <v>459</v>
      </c>
      <c r="C182" s="2" t="str">
        <f>B182</f>
        <v>Geschäftsstelle Dekanat Alzey-Wöllstein</v>
      </c>
      <c r="D182" s="177" t="str">
        <f t="shared" ref="D182:D197" si="11">IF(LEN($A182)&lt;=4,LEFT(TEXT($A182,"0000"),4),LEFT(TEXT($A182,"000000"),4))</f>
        <v>0298</v>
      </c>
      <c r="E182" s="177" t="str">
        <f t="shared" ref="E182:E213" si="12">$M$1&amp;$D182</f>
        <v>900030298</v>
      </c>
      <c r="F182" s="252">
        <v>900030298</v>
      </c>
      <c r="G182" s="251" t="s">
        <v>277</v>
      </c>
      <c r="H182" s="258"/>
      <c r="I182" s="258"/>
      <c r="J182" s="258"/>
      <c r="K182" s="258"/>
    </row>
    <row r="183" spans="1:11" x14ac:dyDescent="0.2">
      <c r="A183" s="256">
        <v>29801</v>
      </c>
      <c r="B183" s="260" t="s">
        <v>460</v>
      </c>
      <c r="C183" s="2" t="str">
        <f t="shared" ref="C183:C197" si="13">MID(B183,5,100)</f>
        <v>KiTa Albig</v>
      </c>
      <c r="D183" s="177" t="str">
        <f t="shared" si="11"/>
        <v>0298</v>
      </c>
      <c r="E183" s="177" t="str">
        <f t="shared" si="12"/>
        <v>900030298</v>
      </c>
      <c r="F183" s="252">
        <v>900030298</v>
      </c>
      <c r="G183" s="251" t="s">
        <v>277</v>
      </c>
      <c r="H183" s="258"/>
      <c r="I183" s="258"/>
      <c r="J183" s="258"/>
      <c r="K183" s="258"/>
    </row>
    <row r="184" spans="1:11" x14ac:dyDescent="0.2">
      <c r="A184" s="256">
        <v>29802</v>
      </c>
      <c r="B184" s="260" t="s">
        <v>461</v>
      </c>
      <c r="C184" s="2" t="str">
        <f t="shared" si="13"/>
        <v>KiTa Alzey, MNW</v>
      </c>
      <c r="D184" s="177" t="str">
        <f t="shared" si="11"/>
        <v>0298</v>
      </c>
      <c r="E184" s="177" t="str">
        <f t="shared" si="12"/>
        <v>900030298</v>
      </c>
      <c r="F184" s="252">
        <v>900030298</v>
      </c>
      <c r="G184" s="251" t="s">
        <v>277</v>
      </c>
      <c r="H184" s="258"/>
      <c r="I184" s="258"/>
      <c r="J184" s="258"/>
      <c r="K184" s="258"/>
    </row>
    <row r="185" spans="1:11" x14ac:dyDescent="0.2">
      <c r="A185" s="256">
        <v>29803</v>
      </c>
      <c r="B185" s="260" t="s">
        <v>462</v>
      </c>
      <c r="C185" s="2" t="str">
        <f t="shared" si="13"/>
        <v>KiTa Alzey, Am Wall</v>
      </c>
      <c r="D185" s="177" t="str">
        <f t="shared" si="11"/>
        <v>0298</v>
      </c>
      <c r="E185" s="177" t="str">
        <f t="shared" si="12"/>
        <v>900030298</v>
      </c>
      <c r="F185" s="252">
        <v>900030298</v>
      </c>
      <c r="G185" s="251" t="s">
        <v>277</v>
      </c>
      <c r="H185" s="258"/>
      <c r="I185" s="258"/>
      <c r="J185" s="258"/>
      <c r="K185" s="258"/>
    </row>
    <row r="186" spans="1:11" x14ac:dyDescent="0.2">
      <c r="A186" s="256">
        <v>29804</v>
      </c>
      <c r="B186" s="260" t="s">
        <v>463</v>
      </c>
      <c r="C186" s="2" t="str">
        <f t="shared" si="13"/>
        <v>KiTa Bechtolsheim</v>
      </c>
      <c r="D186" s="177" t="str">
        <f t="shared" si="11"/>
        <v>0298</v>
      </c>
      <c r="E186" s="177" t="str">
        <f t="shared" si="12"/>
        <v>900030298</v>
      </c>
      <c r="F186" s="252">
        <v>900030298</v>
      </c>
      <c r="G186" s="251" t="s">
        <v>277</v>
      </c>
      <c r="H186" s="258"/>
      <c r="I186" s="258"/>
      <c r="J186" s="258"/>
      <c r="K186" s="258"/>
    </row>
    <row r="187" spans="1:11" x14ac:dyDescent="0.2">
      <c r="A187" s="256">
        <v>29805</v>
      </c>
      <c r="B187" s="260" t="s">
        <v>464</v>
      </c>
      <c r="C187" s="2" t="str">
        <f t="shared" si="13"/>
        <v>KiTa Gundersheim</v>
      </c>
      <c r="D187" s="177" t="str">
        <f t="shared" si="11"/>
        <v>0298</v>
      </c>
      <c r="E187" s="177" t="str">
        <f t="shared" si="12"/>
        <v>900030298</v>
      </c>
      <c r="F187" s="252">
        <v>900030298</v>
      </c>
      <c r="G187" s="251" t="s">
        <v>277</v>
      </c>
      <c r="H187" s="258"/>
      <c r="I187" s="258"/>
      <c r="J187" s="258"/>
      <c r="K187" s="258"/>
    </row>
    <row r="188" spans="1:11" x14ac:dyDescent="0.2">
      <c r="A188" s="256">
        <v>29806</v>
      </c>
      <c r="B188" s="260" t="s">
        <v>465</v>
      </c>
      <c r="C188" s="2" t="str">
        <f t="shared" si="13"/>
        <v>KiTa Ober-Flörsheim</v>
      </c>
      <c r="D188" s="177" t="str">
        <f t="shared" si="11"/>
        <v>0298</v>
      </c>
      <c r="E188" s="177" t="str">
        <f t="shared" si="12"/>
        <v>900030298</v>
      </c>
      <c r="F188" s="252">
        <v>900030298</v>
      </c>
      <c r="G188" s="251" t="s">
        <v>277</v>
      </c>
      <c r="H188" s="258"/>
      <c r="I188" s="258"/>
      <c r="J188" s="258"/>
      <c r="K188" s="258"/>
    </row>
    <row r="189" spans="1:11" x14ac:dyDescent="0.2">
      <c r="A189" s="256">
        <v>29807</v>
      </c>
      <c r="B189" s="260" t="s">
        <v>466</v>
      </c>
      <c r="C189" s="2" t="str">
        <f t="shared" si="13"/>
        <v>KiTa Offenheim</v>
      </c>
      <c r="D189" s="177" t="str">
        <f t="shared" si="11"/>
        <v>0298</v>
      </c>
      <c r="E189" s="177" t="str">
        <f t="shared" si="12"/>
        <v>900030298</v>
      </c>
      <c r="F189" s="252">
        <v>900030298</v>
      </c>
      <c r="G189" s="251" t="s">
        <v>277</v>
      </c>
      <c r="H189" s="258"/>
      <c r="I189" s="258"/>
      <c r="J189" s="258"/>
      <c r="K189" s="258"/>
    </row>
    <row r="190" spans="1:11" x14ac:dyDescent="0.2">
      <c r="A190" s="256">
        <v>29808</v>
      </c>
      <c r="B190" s="260" t="s">
        <v>467</v>
      </c>
      <c r="C190" s="2" t="str">
        <f t="shared" si="13"/>
        <v>KiTa Weinheim</v>
      </c>
      <c r="D190" s="177" t="str">
        <f t="shared" si="11"/>
        <v>0298</v>
      </c>
      <c r="E190" s="177" t="str">
        <f t="shared" si="12"/>
        <v>900030298</v>
      </c>
      <c r="F190" s="252">
        <v>900030298</v>
      </c>
      <c r="G190" s="251" t="s">
        <v>277</v>
      </c>
      <c r="H190" s="258"/>
      <c r="I190" s="258"/>
      <c r="J190" s="258"/>
      <c r="K190" s="258"/>
    </row>
    <row r="191" spans="1:11" x14ac:dyDescent="0.2">
      <c r="A191" s="256">
        <v>29809</v>
      </c>
      <c r="B191" s="260" t="s">
        <v>468</v>
      </c>
      <c r="C191" s="2" t="str">
        <f t="shared" si="13"/>
        <v>KiTa Gimbsheim</v>
      </c>
      <c r="D191" s="177" t="str">
        <f t="shared" si="11"/>
        <v>0298</v>
      </c>
      <c r="E191" s="177" t="str">
        <f t="shared" si="12"/>
        <v>900030298</v>
      </c>
      <c r="F191" s="252">
        <v>900030298</v>
      </c>
      <c r="G191" s="251" t="s">
        <v>277</v>
      </c>
      <c r="H191" s="258"/>
      <c r="I191" s="258"/>
      <c r="J191" s="258"/>
      <c r="K191" s="258"/>
    </row>
    <row r="192" spans="1:11" x14ac:dyDescent="0.2">
      <c r="A192" s="256">
        <v>29810</v>
      </c>
      <c r="B192" s="260" t="s">
        <v>469</v>
      </c>
      <c r="C192" s="2" t="str">
        <f t="shared" si="13"/>
        <v>KiTa Badenheim</v>
      </c>
      <c r="D192" s="177" t="str">
        <f t="shared" si="11"/>
        <v>0298</v>
      </c>
      <c r="E192" s="177" t="str">
        <f t="shared" si="12"/>
        <v>900030298</v>
      </c>
      <c r="F192" s="252">
        <v>900030298</v>
      </c>
      <c r="G192" s="251" t="s">
        <v>277</v>
      </c>
      <c r="H192" s="258"/>
      <c r="I192" s="258"/>
      <c r="J192" s="258"/>
      <c r="K192" s="258"/>
    </row>
    <row r="193" spans="1:11" x14ac:dyDescent="0.2">
      <c r="A193" s="256">
        <v>29811</v>
      </c>
      <c r="B193" s="254" t="s">
        <v>470</v>
      </c>
      <c r="C193" s="176" t="str">
        <f t="shared" si="13"/>
        <v>KiTa Rheindürkheim</v>
      </c>
      <c r="D193" s="177" t="str">
        <f t="shared" si="11"/>
        <v>0298</v>
      </c>
      <c r="E193" s="177" t="str">
        <f t="shared" si="12"/>
        <v>900030298</v>
      </c>
      <c r="F193" s="252">
        <v>900030298</v>
      </c>
      <c r="G193" s="251" t="s">
        <v>277</v>
      </c>
      <c r="H193" s="258"/>
      <c r="I193" s="258"/>
      <c r="J193" s="258"/>
      <c r="K193" s="258"/>
    </row>
    <row r="194" spans="1:11" x14ac:dyDescent="0.2">
      <c r="A194" s="256">
        <v>29812</v>
      </c>
      <c r="B194" s="251" t="s">
        <v>471</v>
      </c>
      <c r="C194" s="176" t="str">
        <f t="shared" si="13"/>
        <v>KiTa Bornheim</v>
      </c>
      <c r="D194" s="177" t="str">
        <f t="shared" si="11"/>
        <v>0298</v>
      </c>
      <c r="E194" s="177" t="str">
        <f t="shared" si="12"/>
        <v>900030298</v>
      </c>
      <c r="F194" s="252">
        <v>900030298</v>
      </c>
      <c r="G194" s="251" t="s">
        <v>277</v>
      </c>
      <c r="H194" s="258"/>
      <c r="I194" s="258"/>
      <c r="J194" s="258"/>
      <c r="K194" s="258"/>
    </row>
    <row r="195" spans="1:11" x14ac:dyDescent="0.2">
      <c r="A195" s="256">
        <v>29813</v>
      </c>
      <c r="B195" s="261" t="s">
        <v>472</v>
      </c>
      <c r="C195" s="2" t="str">
        <f t="shared" si="13"/>
        <v>KiTa Alsheim</v>
      </c>
      <c r="D195" s="177" t="str">
        <f t="shared" si="11"/>
        <v>0298</v>
      </c>
      <c r="E195" s="177" t="str">
        <f t="shared" si="12"/>
        <v>900030298</v>
      </c>
      <c r="F195" s="252">
        <v>900030298</v>
      </c>
      <c r="G195" s="251" t="s">
        <v>277</v>
      </c>
      <c r="H195" s="258"/>
      <c r="I195" s="258"/>
      <c r="J195" s="258"/>
      <c r="K195" s="258"/>
    </row>
    <row r="196" spans="1:11" x14ac:dyDescent="0.2">
      <c r="A196" s="256">
        <v>29814</v>
      </c>
      <c r="B196" s="260" t="s">
        <v>473</v>
      </c>
      <c r="C196" s="2" t="str">
        <f t="shared" si="13"/>
        <v>KiTa Piccolino, Schornsheim</v>
      </c>
      <c r="D196" s="177" t="str">
        <f t="shared" si="11"/>
        <v>0298</v>
      </c>
      <c r="E196" s="177" t="str">
        <f t="shared" si="12"/>
        <v>900030298</v>
      </c>
      <c r="F196" s="252">
        <v>900030298</v>
      </c>
      <c r="G196" s="251" t="s">
        <v>277</v>
      </c>
      <c r="H196" s="258"/>
      <c r="I196" s="258"/>
      <c r="J196" s="258"/>
      <c r="K196" s="258"/>
    </row>
    <row r="197" spans="1:11" x14ac:dyDescent="0.2">
      <c r="A197" s="256">
        <v>29816</v>
      </c>
      <c r="B197" s="261" t="s">
        <v>474</v>
      </c>
      <c r="C197" s="2" t="str">
        <f t="shared" si="13"/>
        <v>KiTa Sonnenschein Wonsheim</v>
      </c>
      <c r="D197" s="177" t="str">
        <f t="shared" si="11"/>
        <v>0298</v>
      </c>
      <c r="E197" s="177" t="str">
        <f t="shared" si="12"/>
        <v>900030298</v>
      </c>
      <c r="F197" s="179">
        <v>900030298</v>
      </c>
      <c r="G197" s="260" t="s">
        <v>277</v>
      </c>
      <c r="H197" s="258"/>
      <c r="I197" s="258"/>
      <c r="J197" s="258"/>
      <c r="K197" s="258"/>
    </row>
    <row r="198" spans="1:11" x14ac:dyDescent="0.2">
      <c r="A198" s="256">
        <v>109800</v>
      </c>
      <c r="B198" s="191" t="s">
        <v>475</v>
      </c>
      <c r="C198" s="2" t="str">
        <f>B198</f>
        <v>Geschäftsstelle GüT Dekanat Ingelheim-Oppenheim</v>
      </c>
      <c r="D198" s="177">
        <v>1098</v>
      </c>
      <c r="E198" s="177" t="str">
        <f t="shared" si="12"/>
        <v>900031098</v>
      </c>
      <c r="F198" s="3">
        <v>900031098</v>
      </c>
      <c r="G198" s="260" t="s">
        <v>314</v>
      </c>
      <c r="H198" s="258"/>
      <c r="I198" s="258"/>
      <c r="J198" s="258"/>
      <c r="K198" s="258"/>
    </row>
    <row r="199" spans="1:11" x14ac:dyDescent="0.2">
      <c r="A199" s="256">
        <v>109801</v>
      </c>
      <c r="B199" s="260" t="s">
        <v>476</v>
      </c>
      <c r="C199" s="2" t="str">
        <f t="shared" ref="C199:C222" si="14">MID(B199,5,100)</f>
        <v>KiTa Johannesgemeinde Bingen</v>
      </c>
      <c r="D199" s="177" t="str">
        <f t="shared" ref="D199:D233" si="15">IF(LEN($A199)&lt;=4,LEFT(TEXT($A199,"0000"),4),LEFT(TEXT($A199,"000000"),4))</f>
        <v>1098</v>
      </c>
      <c r="E199" s="177" t="str">
        <f t="shared" si="12"/>
        <v>900031098</v>
      </c>
      <c r="F199" s="3">
        <v>900031098</v>
      </c>
      <c r="G199" s="260" t="s">
        <v>314</v>
      </c>
      <c r="H199" s="258"/>
      <c r="I199" s="258"/>
      <c r="J199" s="258"/>
      <c r="K199" s="258"/>
    </row>
    <row r="200" spans="1:11" x14ac:dyDescent="0.2">
      <c r="A200" s="256">
        <v>109802</v>
      </c>
      <c r="B200" s="260" t="s">
        <v>477</v>
      </c>
      <c r="C200" s="2" t="str">
        <f t="shared" si="14"/>
        <v>KiTa Christusgemeinde Bingen</v>
      </c>
      <c r="D200" s="177" t="str">
        <f t="shared" si="15"/>
        <v>1098</v>
      </c>
      <c r="E200" s="177" t="str">
        <f t="shared" si="12"/>
        <v>900031098</v>
      </c>
      <c r="F200" s="3">
        <v>900031098</v>
      </c>
      <c r="G200" s="260" t="s">
        <v>314</v>
      </c>
      <c r="H200" s="258"/>
      <c r="I200" s="258"/>
      <c r="J200" s="258"/>
      <c r="K200" s="258"/>
    </row>
    <row r="201" spans="1:11" x14ac:dyDescent="0.2">
      <c r="A201" s="256">
        <v>109803</v>
      </c>
      <c r="B201" s="260" t="s">
        <v>478</v>
      </c>
      <c r="C201" s="2" t="str">
        <f t="shared" si="14"/>
        <v>KiTa Gensingen-Grolsheim</v>
      </c>
      <c r="D201" s="177" t="str">
        <f t="shared" si="15"/>
        <v>1098</v>
      </c>
      <c r="E201" s="177" t="str">
        <f t="shared" si="12"/>
        <v>900031098</v>
      </c>
      <c r="F201" s="3">
        <v>900031098</v>
      </c>
      <c r="G201" s="260" t="s">
        <v>314</v>
      </c>
      <c r="H201" s="258"/>
      <c r="I201" s="258"/>
      <c r="J201" s="258"/>
      <c r="K201" s="258"/>
    </row>
    <row r="202" spans="1:11" x14ac:dyDescent="0.2">
      <c r="A202" s="256">
        <v>109804</v>
      </c>
      <c r="B202" s="260" t="s">
        <v>479</v>
      </c>
      <c r="C202" s="2" t="str">
        <f t="shared" si="14"/>
        <v>KiTa Saalkirchengemeinde Ingelheim</v>
      </c>
      <c r="D202" s="177" t="str">
        <f t="shared" si="15"/>
        <v>1098</v>
      </c>
      <c r="E202" s="177" t="str">
        <f t="shared" si="12"/>
        <v>900031098</v>
      </c>
      <c r="F202" s="3">
        <v>900031098</v>
      </c>
      <c r="G202" s="260" t="s">
        <v>314</v>
      </c>
      <c r="H202" s="258"/>
      <c r="I202" s="258"/>
      <c r="J202" s="258"/>
      <c r="K202" s="258"/>
    </row>
    <row r="203" spans="1:11" x14ac:dyDescent="0.2">
      <c r="A203" s="256">
        <v>109805</v>
      </c>
      <c r="B203" s="260" t="s">
        <v>480</v>
      </c>
      <c r="C203" s="2" t="str">
        <f t="shared" si="14"/>
        <v>KiTa Martin-Luther-King, Jugenheim</v>
      </c>
      <c r="D203" s="177" t="str">
        <f t="shared" si="15"/>
        <v>1098</v>
      </c>
      <c r="E203" s="177" t="str">
        <f t="shared" si="12"/>
        <v>900031098</v>
      </c>
      <c r="F203" s="3">
        <v>900031098</v>
      </c>
      <c r="G203" s="260" t="s">
        <v>314</v>
      </c>
      <c r="H203" s="258"/>
      <c r="I203" s="258"/>
      <c r="J203" s="258"/>
      <c r="K203" s="258"/>
    </row>
    <row r="204" spans="1:11" x14ac:dyDescent="0.2">
      <c r="A204" s="256">
        <v>109806</v>
      </c>
      <c r="B204" s="260" t="s">
        <v>481</v>
      </c>
      <c r="C204" s="2" t="str">
        <f t="shared" si="14"/>
        <v>KiTa Nieder-Olm</v>
      </c>
      <c r="D204" s="177" t="str">
        <f t="shared" si="15"/>
        <v>1098</v>
      </c>
      <c r="E204" s="177" t="str">
        <f t="shared" si="12"/>
        <v>900031098</v>
      </c>
      <c r="F204" s="3">
        <v>900031098</v>
      </c>
      <c r="G204" s="260" t="s">
        <v>314</v>
      </c>
      <c r="H204" s="258"/>
      <c r="I204" s="258"/>
      <c r="J204" s="258"/>
      <c r="K204" s="258"/>
    </row>
    <row r="205" spans="1:11" x14ac:dyDescent="0.2">
      <c r="A205" s="256">
        <v>109807</v>
      </c>
      <c r="B205" s="261" t="s">
        <v>482</v>
      </c>
      <c r="C205" s="2" t="str">
        <f t="shared" si="14"/>
        <v>KiTa Nierstein</v>
      </c>
      <c r="D205" s="177" t="str">
        <f t="shared" si="15"/>
        <v>1098</v>
      </c>
      <c r="E205" s="177" t="str">
        <f t="shared" si="12"/>
        <v>900031098</v>
      </c>
      <c r="F205" s="3">
        <v>900031098</v>
      </c>
      <c r="G205" s="260" t="s">
        <v>314</v>
      </c>
      <c r="H205" s="258"/>
      <c r="I205" s="258"/>
      <c r="J205" s="258"/>
      <c r="K205" s="258"/>
    </row>
    <row r="206" spans="1:11" x14ac:dyDescent="0.2">
      <c r="A206" s="256">
        <v>109808</v>
      </c>
      <c r="B206" s="261" t="s">
        <v>483</v>
      </c>
      <c r="C206" s="2" t="str">
        <f t="shared" si="14"/>
        <v>KiTa Uelversheim</v>
      </c>
      <c r="D206" s="177" t="str">
        <f t="shared" si="15"/>
        <v>1098</v>
      </c>
      <c r="E206" s="177" t="str">
        <f t="shared" si="12"/>
        <v>900031098</v>
      </c>
      <c r="F206" s="3">
        <v>900031098</v>
      </c>
      <c r="G206" s="260" t="s">
        <v>314</v>
      </c>
      <c r="H206" s="258"/>
      <c r="I206" s="258"/>
      <c r="J206" s="258"/>
      <c r="K206" s="258"/>
    </row>
    <row r="207" spans="1:11" x14ac:dyDescent="0.2">
      <c r="A207" s="256">
        <v>341601</v>
      </c>
      <c r="B207" s="260" t="s">
        <v>484</v>
      </c>
      <c r="C207" s="2" t="str">
        <f t="shared" si="14"/>
        <v>KiTa Vers.Kirche Ingelheim</v>
      </c>
      <c r="D207" s="177" t="str">
        <f t="shared" si="15"/>
        <v>3416</v>
      </c>
      <c r="E207" s="177" t="str">
        <f t="shared" si="12"/>
        <v>900033416</v>
      </c>
      <c r="F207" s="3">
        <v>900036598</v>
      </c>
      <c r="G207" s="260" t="s">
        <v>314</v>
      </c>
      <c r="H207" s="258"/>
      <c r="I207" s="258"/>
      <c r="J207" s="258"/>
      <c r="K207" s="258"/>
    </row>
    <row r="208" spans="1:11" x14ac:dyDescent="0.2">
      <c r="A208" s="256">
        <v>341901</v>
      </c>
      <c r="B208" s="260" t="s">
        <v>485</v>
      </c>
      <c r="C208" s="2" t="str">
        <f t="shared" si="14"/>
        <v>KiTa Partenheim</v>
      </c>
      <c r="D208" s="177" t="str">
        <f t="shared" si="15"/>
        <v>3419</v>
      </c>
      <c r="E208" s="177" t="str">
        <f t="shared" si="12"/>
        <v>900033419</v>
      </c>
      <c r="F208" s="3">
        <v>900036598</v>
      </c>
      <c r="G208" s="260" t="s">
        <v>314</v>
      </c>
      <c r="H208" s="258"/>
      <c r="I208" s="258"/>
      <c r="J208" s="258"/>
      <c r="K208" s="258"/>
    </row>
    <row r="209" spans="1:11" x14ac:dyDescent="0.2">
      <c r="A209" s="256">
        <v>380201</v>
      </c>
      <c r="B209" s="261" t="s">
        <v>486</v>
      </c>
      <c r="C209" s="2" t="str">
        <f t="shared" si="14"/>
        <v>KiTa Budenheim</v>
      </c>
      <c r="D209" s="177" t="str">
        <f t="shared" si="15"/>
        <v>3802</v>
      </c>
      <c r="E209" s="177" t="str">
        <f t="shared" si="12"/>
        <v>900033802</v>
      </c>
      <c r="F209" s="3">
        <v>900033898</v>
      </c>
      <c r="G209" s="261" t="s">
        <v>339</v>
      </c>
      <c r="H209" s="258"/>
      <c r="I209" s="258"/>
      <c r="J209" s="258"/>
      <c r="K209" s="258"/>
    </row>
    <row r="210" spans="1:11" x14ac:dyDescent="0.2">
      <c r="A210" s="256">
        <v>380501</v>
      </c>
      <c r="B210" s="261" t="s">
        <v>487</v>
      </c>
      <c r="C210" s="2" t="str">
        <f t="shared" si="14"/>
        <v>KiTa MZ-Hechtsheim</v>
      </c>
      <c r="D210" s="177" t="str">
        <f t="shared" si="15"/>
        <v>3805</v>
      </c>
      <c r="E210" s="177" t="str">
        <f t="shared" si="12"/>
        <v>900033805</v>
      </c>
      <c r="F210" s="3">
        <v>900033898</v>
      </c>
      <c r="G210" s="261" t="s">
        <v>339</v>
      </c>
      <c r="H210" s="258"/>
      <c r="I210" s="258"/>
      <c r="J210" s="258"/>
      <c r="K210" s="258"/>
    </row>
    <row r="211" spans="1:11" x14ac:dyDescent="0.2">
      <c r="A211" s="256">
        <v>380701</v>
      </c>
      <c r="B211" s="261" t="s">
        <v>488</v>
      </c>
      <c r="C211" s="2" t="str">
        <f t="shared" si="14"/>
        <v>KiTa Altmünster MZ</v>
      </c>
      <c r="D211" s="177" t="str">
        <f t="shared" si="15"/>
        <v>3807</v>
      </c>
      <c r="E211" s="177" t="str">
        <f t="shared" si="12"/>
        <v>900033807</v>
      </c>
      <c r="F211" s="3">
        <v>900033898</v>
      </c>
      <c r="G211" s="261" t="s">
        <v>339</v>
      </c>
      <c r="H211" s="258"/>
      <c r="I211" s="258"/>
      <c r="J211" s="258"/>
      <c r="K211" s="258"/>
    </row>
    <row r="212" spans="1:11" x14ac:dyDescent="0.2">
      <c r="A212" s="256">
        <v>380801</v>
      </c>
      <c r="B212" s="261" t="s">
        <v>489</v>
      </c>
      <c r="C212" s="2" t="str">
        <f t="shared" si="14"/>
        <v>KiTa Auferstehung MZ</v>
      </c>
      <c r="D212" s="177" t="str">
        <f t="shared" si="15"/>
        <v>3808</v>
      </c>
      <c r="E212" s="177" t="str">
        <f t="shared" si="12"/>
        <v>900033808</v>
      </c>
      <c r="F212" s="3">
        <v>900033898</v>
      </c>
      <c r="G212" s="261" t="s">
        <v>339</v>
      </c>
      <c r="H212" s="258"/>
      <c r="I212" s="258"/>
      <c r="J212" s="258"/>
      <c r="K212" s="258"/>
    </row>
    <row r="213" spans="1:11" x14ac:dyDescent="0.2">
      <c r="A213" s="256">
        <v>381001</v>
      </c>
      <c r="B213" s="261" t="s">
        <v>490</v>
      </c>
      <c r="C213" s="2" t="str">
        <f t="shared" si="14"/>
        <v>KiTa Christus MZ</v>
      </c>
      <c r="D213" s="177" t="str">
        <f t="shared" si="15"/>
        <v>3810</v>
      </c>
      <c r="E213" s="177" t="str">
        <f t="shared" si="12"/>
        <v>900033810</v>
      </c>
      <c r="F213" s="3">
        <v>900033898</v>
      </c>
      <c r="G213" s="261" t="s">
        <v>339</v>
      </c>
      <c r="H213" s="258"/>
      <c r="I213" s="258"/>
      <c r="J213" s="258"/>
      <c r="K213" s="258"/>
    </row>
    <row r="214" spans="1:11" x14ac:dyDescent="0.2">
      <c r="A214" s="256">
        <v>381201</v>
      </c>
      <c r="B214" s="261" t="s">
        <v>491</v>
      </c>
      <c r="C214" s="2" t="str">
        <f t="shared" si="14"/>
        <v>KiTa MZ-Gonsenheim</v>
      </c>
      <c r="D214" s="177" t="str">
        <f t="shared" si="15"/>
        <v>3812</v>
      </c>
      <c r="E214" s="177" t="str">
        <f t="shared" ref="E214:E245" si="16">$M$1&amp;$D214</f>
        <v>900033812</v>
      </c>
      <c r="F214" s="3">
        <v>900033898</v>
      </c>
      <c r="G214" s="261" t="s">
        <v>339</v>
      </c>
      <c r="H214" s="258"/>
      <c r="I214" s="258"/>
      <c r="J214" s="258"/>
      <c r="K214" s="258"/>
    </row>
    <row r="215" spans="1:11" x14ac:dyDescent="0.2">
      <c r="A215" s="256">
        <v>381401</v>
      </c>
      <c r="B215" s="261" t="s">
        <v>492</v>
      </c>
      <c r="C215" s="2" t="str">
        <f t="shared" si="14"/>
        <v>KiTa Maria-Magdalena MZ</v>
      </c>
      <c r="D215" s="177" t="str">
        <f t="shared" si="15"/>
        <v>3814</v>
      </c>
      <c r="E215" s="177" t="str">
        <f t="shared" si="16"/>
        <v>900033814</v>
      </c>
      <c r="F215" s="3">
        <v>900033898</v>
      </c>
      <c r="G215" s="261" t="s">
        <v>339</v>
      </c>
      <c r="H215" s="258"/>
      <c r="I215" s="258"/>
      <c r="J215" s="258"/>
      <c r="K215" s="258"/>
    </row>
    <row r="216" spans="1:11" x14ac:dyDescent="0.2">
      <c r="A216" s="256">
        <v>381501</v>
      </c>
      <c r="B216" s="261" t="s">
        <v>493</v>
      </c>
      <c r="C216" s="2" t="str">
        <f t="shared" si="14"/>
        <v>KiTa Luther MZ</v>
      </c>
      <c r="D216" s="177" t="str">
        <f t="shared" si="15"/>
        <v>3815</v>
      </c>
      <c r="E216" s="177" t="str">
        <f t="shared" si="16"/>
        <v>900033815</v>
      </c>
      <c r="F216" s="3">
        <v>900033898</v>
      </c>
      <c r="G216" s="261" t="s">
        <v>339</v>
      </c>
      <c r="H216" s="258"/>
      <c r="I216" s="258"/>
      <c r="J216" s="258"/>
      <c r="K216" s="258"/>
    </row>
    <row r="217" spans="1:11" x14ac:dyDescent="0.2">
      <c r="A217" s="256">
        <v>381601</v>
      </c>
      <c r="B217" s="261" t="s">
        <v>494</v>
      </c>
      <c r="C217" s="2" t="str">
        <f t="shared" si="14"/>
        <v>KiTa Melanchthon MZ</v>
      </c>
      <c r="D217" s="177" t="str">
        <f t="shared" si="15"/>
        <v>3816</v>
      </c>
      <c r="E217" s="177" t="str">
        <f t="shared" si="16"/>
        <v>900033816</v>
      </c>
      <c r="F217" s="3">
        <v>900033898</v>
      </c>
      <c r="G217" s="261" t="s">
        <v>339</v>
      </c>
      <c r="H217" s="258"/>
      <c r="I217" s="258"/>
      <c r="J217" s="258"/>
      <c r="K217" s="258"/>
    </row>
    <row r="218" spans="1:11" x14ac:dyDescent="0.2">
      <c r="A218" s="256">
        <v>381701</v>
      </c>
      <c r="B218" s="261" t="s">
        <v>495</v>
      </c>
      <c r="C218" s="2" t="str">
        <f t="shared" si="14"/>
        <v>KiTa MZ-Mombach</v>
      </c>
      <c r="D218" s="177" t="str">
        <f t="shared" si="15"/>
        <v>3817</v>
      </c>
      <c r="E218" s="177" t="str">
        <f t="shared" si="16"/>
        <v>900033817</v>
      </c>
      <c r="F218" s="3">
        <v>900033898</v>
      </c>
      <c r="G218" s="261" t="s">
        <v>339</v>
      </c>
      <c r="H218" s="258"/>
      <c r="I218" s="258"/>
      <c r="J218" s="258"/>
      <c r="K218" s="258"/>
    </row>
    <row r="219" spans="1:11" x14ac:dyDescent="0.2">
      <c r="A219" s="256">
        <v>381801</v>
      </c>
      <c r="B219" s="261" t="s">
        <v>496</v>
      </c>
      <c r="C219" s="2" t="str">
        <f t="shared" si="14"/>
        <v>KiTa Paulus MZ</v>
      </c>
      <c r="D219" s="177" t="str">
        <f t="shared" si="15"/>
        <v>3818</v>
      </c>
      <c r="E219" s="177" t="str">
        <f t="shared" si="16"/>
        <v>900033818</v>
      </c>
      <c r="F219" s="3">
        <v>900033898</v>
      </c>
      <c r="G219" s="261" t="s">
        <v>339</v>
      </c>
      <c r="H219" s="258"/>
      <c r="I219" s="258"/>
      <c r="J219" s="258"/>
      <c r="K219" s="258"/>
    </row>
    <row r="220" spans="1:11" x14ac:dyDescent="0.2">
      <c r="A220" s="256">
        <v>382001</v>
      </c>
      <c r="B220" s="261" t="s">
        <v>497</v>
      </c>
      <c r="C220" s="2" t="str">
        <f t="shared" si="14"/>
        <v>KiTa MZ-Weisenau</v>
      </c>
      <c r="D220" s="177" t="str">
        <f t="shared" si="15"/>
        <v>3820</v>
      </c>
      <c r="E220" s="177" t="str">
        <f t="shared" si="16"/>
        <v>900033820</v>
      </c>
      <c r="F220" s="3">
        <v>900033898</v>
      </c>
      <c r="G220" s="261" t="s">
        <v>339</v>
      </c>
      <c r="H220" s="258"/>
      <c r="I220" s="258"/>
      <c r="J220" s="258"/>
      <c r="K220" s="258"/>
    </row>
    <row r="221" spans="1:11" x14ac:dyDescent="0.2">
      <c r="A221" s="256">
        <v>382501</v>
      </c>
      <c r="B221" s="261" t="s">
        <v>498</v>
      </c>
      <c r="C221" s="2" t="str">
        <f t="shared" si="14"/>
        <v>KiTa Emmaus MZ</v>
      </c>
      <c r="D221" s="177" t="str">
        <f t="shared" si="15"/>
        <v>3825</v>
      </c>
      <c r="E221" s="177" t="str">
        <f t="shared" si="16"/>
        <v>900033825</v>
      </c>
      <c r="F221" s="3">
        <v>900033898</v>
      </c>
      <c r="G221" s="261" t="s">
        <v>339</v>
      </c>
      <c r="H221" s="258"/>
      <c r="I221" s="258"/>
      <c r="J221" s="258"/>
      <c r="K221" s="258"/>
    </row>
    <row r="222" spans="1:11" x14ac:dyDescent="0.2">
      <c r="A222" s="256">
        <v>430401</v>
      </c>
      <c r="B222" s="261" t="s">
        <v>499</v>
      </c>
      <c r="C222" s="2" t="str">
        <f t="shared" si="14"/>
        <v>KiTa Dexheim</v>
      </c>
      <c r="D222" s="177" t="str">
        <f t="shared" si="15"/>
        <v>4304</v>
      </c>
      <c r="E222" s="177" t="str">
        <f t="shared" si="16"/>
        <v>900034304</v>
      </c>
      <c r="F222" s="3">
        <v>900036598</v>
      </c>
      <c r="G222" s="261" t="s">
        <v>314</v>
      </c>
      <c r="H222" s="258"/>
      <c r="I222" s="258"/>
      <c r="J222" s="258"/>
      <c r="K222" s="258"/>
    </row>
    <row r="223" spans="1:11" x14ac:dyDescent="0.2">
      <c r="A223" s="252">
        <v>431101</v>
      </c>
      <c r="B223" s="260" t="s">
        <v>500</v>
      </c>
      <c r="C223" s="260" t="s">
        <v>500</v>
      </c>
      <c r="D223" s="177" t="str">
        <f t="shared" si="15"/>
        <v>4311</v>
      </c>
      <c r="E223" s="177" t="str">
        <f t="shared" si="16"/>
        <v>900034311</v>
      </c>
      <c r="F223" s="3">
        <v>900031098</v>
      </c>
      <c r="G223" s="261" t="s">
        <v>314</v>
      </c>
      <c r="H223" s="258"/>
      <c r="I223" s="258"/>
      <c r="J223" s="258"/>
      <c r="K223" s="258"/>
    </row>
    <row r="224" spans="1:11" x14ac:dyDescent="0.2">
      <c r="A224" s="252">
        <v>431102</v>
      </c>
      <c r="B224" s="260" t="s">
        <v>501</v>
      </c>
      <c r="C224" s="260" t="s">
        <v>501</v>
      </c>
      <c r="D224" s="177" t="str">
        <f t="shared" si="15"/>
        <v>4311</v>
      </c>
      <c r="E224" s="177" t="str">
        <f t="shared" si="16"/>
        <v>900034311</v>
      </c>
      <c r="F224" s="3">
        <v>900031098</v>
      </c>
      <c r="G224" s="261" t="s">
        <v>314</v>
      </c>
      <c r="H224" s="258"/>
      <c r="I224" s="258"/>
      <c r="J224" s="258"/>
      <c r="K224" s="258"/>
    </row>
    <row r="225" spans="1:11" x14ac:dyDescent="0.2">
      <c r="A225" s="252">
        <v>431501</v>
      </c>
      <c r="B225" s="260" t="s">
        <v>502</v>
      </c>
      <c r="C225" s="2" t="str">
        <f>MID(B225,5,100)</f>
        <v>Kirchengemeinde Oppenheim, Katharinenkirche</v>
      </c>
      <c r="D225" s="177" t="str">
        <f t="shared" si="15"/>
        <v>4315</v>
      </c>
      <c r="E225" s="177" t="str">
        <f t="shared" si="16"/>
        <v>900034315</v>
      </c>
      <c r="F225" s="3">
        <v>900031098</v>
      </c>
      <c r="G225" s="261" t="s">
        <v>314</v>
      </c>
      <c r="H225" s="258"/>
      <c r="I225" s="258"/>
      <c r="J225" s="258"/>
      <c r="K225" s="258"/>
    </row>
    <row r="226" spans="1:11" x14ac:dyDescent="0.2">
      <c r="A226" s="252">
        <v>431502</v>
      </c>
      <c r="B226" s="260" t="s">
        <v>503</v>
      </c>
      <c r="C226" s="2" t="str">
        <f>MID(B226,5,100)</f>
        <v>Kirchengemeinde Oppenheim, Altenzentrum</v>
      </c>
      <c r="D226" s="177" t="str">
        <f t="shared" si="15"/>
        <v>4315</v>
      </c>
      <c r="E226" s="177" t="str">
        <f t="shared" si="16"/>
        <v>900034315</v>
      </c>
      <c r="F226" s="3">
        <v>900031098</v>
      </c>
      <c r="G226" s="261" t="s">
        <v>314</v>
      </c>
      <c r="H226" s="258"/>
      <c r="I226" s="258"/>
      <c r="J226" s="258"/>
      <c r="K226" s="258"/>
    </row>
    <row r="227" spans="1:11" x14ac:dyDescent="0.2">
      <c r="A227" s="252">
        <v>432101</v>
      </c>
      <c r="B227" s="253" t="s">
        <v>504</v>
      </c>
      <c r="C227" s="2" t="s">
        <v>504</v>
      </c>
      <c r="D227" s="177" t="str">
        <f t="shared" si="15"/>
        <v>4321</v>
      </c>
      <c r="E227" s="177" t="str">
        <f t="shared" si="16"/>
        <v>900034321</v>
      </c>
      <c r="F227" s="3">
        <v>900031098</v>
      </c>
      <c r="G227" s="261" t="s">
        <v>314</v>
      </c>
      <c r="H227" s="258"/>
      <c r="I227" s="258"/>
      <c r="J227" s="258"/>
      <c r="K227" s="258"/>
    </row>
    <row r="228" spans="1:11" x14ac:dyDescent="0.2">
      <c r="A228" s="256">
        <v>432101</v>
      </c>
      <c r="B228" s="261" t="s">
        <v>505</v>
      </c>
      <c r="C228" s="2" t="str">
        <f>MID(B228,5,100)</f>
        <v>KiTa Oppenheim</v>
      </c>
      <c r="D228" s="177" t="str">
        <f t="shared" si="15"/>
        <v>4321</v>
      </c>
      <c r="E228" s="177" t="str">
        <f t="shared" si="16"/>
        <v>900034321</v>
      </c>
      <c r="F228" s="3">
        <v>900031098</v>
      </c>
      <c r="G228" s="261" t="s">
        <v>314</v>
      </c>
      <c r="H228" s="258"/>
      <c r="I228" s="258"/>
      <c r="J228" s="258"/>
      <c r="K228" s="258"/>
    </row>
    <row r="229" spans="1:11" x14ac:dyDescent="0.2">
      <c r="A229" s="252">
        <v>432102</v>
      </c>
      <c r="B229" s="253" t="s">
        <v>506</v>
      </c>
      <c r="C229" s="2" t="s">
        <v>506</v>
      </c>
      <c r="D229" s="177" t="str">
        <f t="shared" si="15"/>
        <v>4321</v>
      </c>
      <c r="E229" s="177" t="str">
        <f t="shared" si="16"/>
        <v>900034321</v>
      </c>
      <c r="F229" s="3">
        <v>900031098</v>
      </c>
      <c r="G229" s="261" t="s">
        <v>314</v>
      </c>
      <c r="H229" s="258"/>
      <c r="I229" s="258"/>
      <c r="J229" s="258"/>
      <c r="K229" s="258"/>
    </row>
    <row r="230" spans="1:11" x14ac:dyDescent="0.2">
      <c r="A230" s="256">
        <v>582001</v>
      </c>
      <c r="B230" s="261" t="s">
        <v>507</v>
      </c>
      <c r="C230" s="2" t="str">
        <f>MID(B230,5,100)</f>
        <v>KiTa Sprendlingen</v>
      </c>
      <c r="D230" s="177" t="str">
        <f t="shared" si="15"/>
        <v>5820</v>
      </c>
      <c r="E230" s="177" t="str">
        <f t="shared" si="16"/>
        <v>900035820</v>
      </c>
      <c r="F230" s="179">
        <v>900030298</v>
      </c>
      <c r="G230" s="260" t="s">
        <v>277</v>
      </c>
      <c r="H230" s="258"/>
      <c r="I230" s="258"/>
      <c r="J230" s="258"/>
      <c r="K230" s="258"/>
    </row>
    <row r="231" spans="1:11" x14ac:dyDescent="0.2">
      <c r="A231" s="256">
        <v>651101</v>
      </c>
      <c r="B231" s="261" t="s">
        <v>508</v>
      </c>
      <c r="C231" s="2" t="str">
        <f>MID(B231,5,100)</f>
        <v>KiTa Hohen-Sülzen</v>
      </c>
      <c r="D231" s="177" t="str">
        <f t="shared" si="15"/>
        <v>6511</v>
      </c>
      <c r="E231" s="177" t="str">
        <f t="shared" si="16"/>
        <v>900036511</v>
      </c>
      <c r="F231" s="3">
        <v>900036598</v>
      </c>
      <c r="G231" s="261" t="s">
        <v>404</v>
      </c>
      <c r="H231" s="258"/>
      <c r="I231" s="258"/>
      <c r="J231" s="258"/>
      <c r="K231" s="258"/>
    </row>
    <row r="232" spans="1:11" x14ac:dyDescent="0.2">
      <c r="A232" s="256">
        <v>651601</v>
      </c>
      <c r="B232" s="261" t="s">
        <v>509</v>
      </c>
      <c r="C232" s="2" t="str">
        <f>MID(B232,5,100)</f>
        <v>KiTa Monsheim</v>
      </c>
      <c r="D232" s="177" t="str">
        <f t="shared" si="15"/>
        <v>6516</v>
      </c>
      <c r="E232" s="177" t="str">
        <f t="shared" si="16"/>
        <v>900036516</v>
      </c>
      <c r="F232" s="3">
        <v>900036598</v>
      </c>
      <c r="G232" s="261" t="s">
        <v>404</v>
      </c>
      <c r="H232" s="258"/>
      <c r="I232" s="258"/>
      <c r="J232" s="258"/>
      <c r="K232" s="258"/>
    </row>
    <row r="233" spans="1:11" x14ac:dyDescent="0.2">
      <c r="A233" s="256">
        <v>652501</v>
      </c>
      <c r="B233" s="191" t="s">
        <v>510</v>
      </c>
      <c r="C233" s="2" t="str">
        <f>MID(B233,5,100)</f>
        <v>KiTa Worms-Dreifaltigkeitsgemeinde</v>
      </c>
      <c r="D233" s="177" t="str">
        <f t="shared" si="15"/>
        <v>6525</v>
      </c>
      <c r="E233" s="177" t="str">
        <f t="shared" si="16"/>
        <v>900036525</v>
      </c>
      <c r="F233" s="3">
        <v>900036598</v>
      </c>
      <c r="G233" s="261" t="s">
        <v>404</v>
      </c>
      <c r="H233" s="258"/>
      <c r="I233" s="258"/>
      <c r="J233" s="258"/>
      <c r="K233" s="258"/>
    </row>
    <row r="234" spans="1:11" x14ac:dyDescent="0.2">
      <c r="A234" s="256">
        <v>659800</v>
      </c>
      <c r="B234" s="191" t="s">
        <v>511</v>
      </c>
      <c r="C234" s="2" t="str">
        <f>B234</f>
        <v>Geschäftsstelle GüT Dekanat Worms-Wonnegau</v>
      </c>
      <c r="D234" s="177">
        <v>6598</v>
      </c>
      <c r="E234" s="177" t="str">
        <f t="shared" si="16"/>
        <v>900036598</v>
      </c>
      <c r="F234" s="3">
        <v>900036598</v>
      </c>
      <c r="G234" s="261" t="s">
        <v>404</v>
      </c>
      <c r="H234" s="258"/>
      <c r="I234" s="258"/>
      <c r="J234" s="258"/>
      <c r="K234" s="258"/>
    </row>
    <row r="235" spans="1:11" x14ac:dyDescent="0.2">
      <c r="A235" s="256">
        <v>659801</v>
      </c>
      <c r="B235" s="191" t="s">
        <v>512</v>
      </c>
      <c r="C235" s="2" t="str">
        <f t="shared" ref="C235:C259" si="17">MID(B235,5,100)</f>
        <v>KiTa Dreifaltigkeit</v>
      </c>
      <c r="D235" s="177" t="str">
        <f t="shared" ref="D235:D261" si="18">IF(LEN($A235)&lt;=4,LEFT(TEXT($A235,"0000"),4),LEFT(TEXT($A235,"000000"),4))</f>
        <v>6598</v>
      </c>
      <c r="E235" s="177" t="str">
        <f t="shared" si="16"/>
        <v>900036598</v>
      </c>
      <c r="F235" s="3">
        <v>900036598</v>
      </c>
      <c r="G235" s="261" t="s">
        <v>404</v>
      </c>
      <c r="H235" s="258"/>
      <c r="I235" s="258"/>
      <c r="J235" s="258"/>
      <c r="K235" s="258"/>
    </row>
    <row r="236" spans="1:11" x14ac:dyDescent="0.2">
      <c r="A236" s="256">
        <v>659802</v>
      </c>
      <c r="B236" s="191" t="s">
        <v>513</v>
      </c>
      <c r="C236" s="2" t="str">
        <f t="shared" si="17"/>
        <v>KiTa Anne-Frank Friedrichsgemeinde</v>
      </c>
      <c r="D236" s="177" t="str">
        <f t="shared" si="18"/>
        <v>6598</v>
      </c>
      <c r="E236" s="177" t="str">
        <f t="shared" si="16"/>
        <v>900036598</v>
      </c>
      <c r="F236" s="3">
        <v>900036598</v>
      </c>
      <c r="G236" s="261" t="s">
        <v>404</v>
      </c>
      <c r="H236" s="258"/>
      <c r="I236" s="258"/>
      <c r="J236" s="258"/>
      <c r="K236" s="258"/>
    </row>
    <row r="237" spans="1:11" x14ac:dyDescent="0.2">
      <c r="A237" s="256">
        <v>659803</v>
      </c>
      <c r="B237" s="191" t="s">
        <v>514</v>
      </c>
      <c r="C237" s="2" t="str">
        <f t="shared" si="17"/>
        <v>KiTa Sonnenblumen, Heppenheim</v>
      </c>
      <c r="D237" s="177" t="str">
        <f t="shared" si="18"/>
        <v>6598</v>
      </c>
      <c r="E237" s="177" t="str">
        <f t="shared" si="16"/>
        <v>900036598</v>
      </c>
      <c r="F237" s="3">
        <v>900036598</v>
      </c>
      <c r="G237" s="261" t="s">
        <v>404</v>
      </c>
      <c r="H237" s="258"/>
      <c r="I237" s="258"/>
      <c r="J237" s="258"/>
      <c r="K237" s="258"/>
    </row>
    <row r="238" spans="1:11" x14ac:dyDescent="0.2">
      <c r="A238" s="256">
        <v>659804</v>
      </c>
      <c r="B238" s="191" t="s">
        <v>515</v>
      </c>
      <c r="C238" s="2" t="str">
        <f t="shared" si="17"/>
        <v>KiTa Herrnsheim</v>
      </c>
      <c r="D238" s="177" t="str">
        <f t="shared" si="18"/>
        <v>6598</v>
      </c>
      <c r="E238" s="177" t="str">
        <f t="shared" si="16"/>
        <v>900036598</v>
      </c>
      <c r="F238" s="3">
        <v>900036598</v>
      </c>
      <c r="G238" s="261" t="s">
        <v>404</v>
      </c>
      <c r="H238" s="258"/>
      <c r="I238" s="258"/>
      <c r="J238" s="258"/>
      <c r="K238" s="258"/>
    </row>
    <row r="239" spans="1:11" x14ac:dyDescent="0.2">
      <c r="A239" s="256">
        <v>659805</v>
      </c>
      <c r="B239" s="191" t="s">
        <v>516</v>
      </c>
      <c r="C239" s="2" t="str">
        <f t="shared" si="17"/>
        <v>KiTa Hochheim</v>
      </c>
      <c r="D239" s="177" t="str">
        <f t="shared" si="18"/>
        <v>6598</v>
      </c>
      <c r="E239" s="177" t="str">
        <f t="shared" si="16"/>
        <v>900036598</v>
      </c>
      <c r="F239" s="3">
        <v>900036598</v>
      </c>
      <c r="G239" s="261" t="s">
        <v>404</v>
      </c>
      <c r="H239" s="258"/>
      <c r="I239" s="258"/>
      <c r="J239" s="258"/>
      <c r="K239" s="258"/>
    </row>
    <row r="240" spans="1:11" x14ac:dyDescent="0.2">
      <c r="A240" s="256">
        <v>659806</v>
      </c>
      <c r="B240" s="191" t="s">
        <v>517</v>
      </c>
      <c r="C240" s="2" t="str">
        <f t="shared" si="17"/>
        <v>KiTa Regenbogen, Horchheim</v>
      </c>
      <c r="D240" s="177" t="str">
        <f t="shared" si="18"/>
        <v>6598</v>
      </c>
      <c r="E240" s="177" t="str">
        <f t="shared" si="16"/>
        <v>900036598</v>
      </c>
      <c r="F240" s="3">
        <v>900036598</v>
      </c>
      <c r="G240" s="261" t="s">
        <v>404</v>
      </c>
      <c r="H240" s="258"/>
      <c r="I240" s="258"/>
      <c r="J240" s="258"/>
      <c r="K240" s="258"/>
    </row>
    <row r="241" spans="1:11" x14ac:dyDescent="0.2">
      <c r="A241" s="256">
        <v>659807</v>
      </c>
      <c r="B241" s="191" t="s">
        <v>518</v>
      </c>
      <c r="C241" s="2" t="str">
        <f t="shared" si="17"/>
        <v>KiTa Bartimäus, Leiselheim</v>
      </c>
      <c r="D241" s="177" t="str">
        <f t="shared" si="18"/>
        <v>6598</v>
      </c>
      <c r="E241" s="177" t="str">
        <f t="shared" si="16"/>
        <v>900036598</v>
      </c>
      <c r="F241" s="3">
        <v>900036598</v>
      </c>
      <c r="G241" s="261" t="s">
        <v>404</v>
      </c>
      <c r="H241" s="258"/>
      <c r="I241" s="258"/>
      <c r="J241" s="258"/>
      <c r="K241" s="258"/>
    </row>
    <row r="242" spans="1:11" x14ac:dyDescent="0.2">
      <c r="A242" s="256">
        <v>659808</v>
      </c>
      <c r="B242" s="191" t="s">
        <v>519</v>
      </c>
      <c r="C242" s="2" t="str">
        <f t="shared" si="17"/>
        <v>KiTa Lukas, Lukasgemeinde</v>
      </c>
      <c r="D242" s="177" t="str">
        <f t="shared" si="18"/>
        <v>6598</v>
      </c>
      <c r="E242" s="177" t="str">
        <f t="shared" si="16"/>
        <v>900036598</v>
      </c>
      <c r="F242" s="3">
        <v>900036598</v>
      </c>
      <c r="G242" s="261" t="s">
        <v>404</v>
      </c>
      <c r="H242" s="258"/>
      <c r="I242" s="258"/>
      <c r="J242" s="258"/>
      <c r="K242" s="258"/>
    </row>
    <row r="243" spans="1:11" x14ac:dyDescent="0.2">
      <c r="A243" s="256">
        <v>659809</v>
      </c>
      <c r="B243" s="191" t="s">
        <v>520</v>
      </c>
      <c r="C243" s="2" t="str">
        <f t="shared" si="17"/>
        <v>KiTa Oberlinhaus, Luthergemeinde</v>
      </c>
      <c r="D243" s="177" t="str">
        <f t="shared" si="18"/>
        <v>6598</v>
      </c>
      <c r="E243" s="177" t="str">
        <f t="shared" si="16"/>
        <v>900036598</v>
      </c>
      <c r="F243" s="3">
        <v>900036598</v>
      </c>
      <c r="G243" s="261" t="s">
        <v>404</v>
      </c>
      <c r="H243" s="258"/>
      <c r="I243" s="258"/>
      <c r="J243" s="258"/>
      <c r="K243" s="258"/>
    </row>
    <row r="244" spans="1:11" x14ac:dyDescent="0.2">
      <c r="A244" s="256">
        <v>659810</v>
      </c>
      <c r="B244" s="191" t="s">
        <v>521</v>
      </c>
      <c r="C244" s="2" t="str">
        <f t="shared" si="17"/>
        <v>KiTa Käthe-Luther-Haus, Luthergemeinde</v>
      </c>
      <c r="D244" s="177" t="str">
        <f t="shared" si="18"/>
        <v>6598</v>
      </c>
      <c r="E244" s="177" t="str">
        <f t="shared" si="16"/>
        <v>900036598</v>
      </c>
      <c r="F244" s="3">
        <v>900036598</v>
      </c>
      <c r="G244" s="261" t="s">
        <v>404</v>
      </c>
      <c r="H244" s="258"/>
      <c r="I244" s="258"/>
      <c r="J244" s="258"/>
      <c r="K244" s="258"/>
    </row>
    <row r="245" spans="1:11" x14ac:dyDescent="0.2">
      <c r="A245" s="256">
        <v>659812</v>
      </c>
      <c r="B245" s="191" t="s">
        <v>522</v>
      </c>
      <c r="C245" s="2" t="str">
        <f t="shared" si="17"/>
        <v>KiTa Magnus, Magnus-u. Matthäusgmd.</v>
      </c>
      <c r="D245" s="177" t="str">
        <f t="shared" si="18"/>
        <v>6598</v>
      </c>
      <c r="E245" s="177" t="str">
        <f t="shared" si="16"/>
        <v>900036598</v>
      </c>
      <c r="F245" s="3">
        <v>900036598</v>
      </c>
      <c r="G245" s="261" t="s">
        <v>404</v>
      </c>
      <c r="H245" s="258"/>
      <c r="I245" s="258"/>
      <c r="J245" s="258"/>
      <c r="K245" s="258"/>
    </row>
    <row r="246" spans="1:11" x14ac:dyDescent="0.2">
      <c r="A246" s="256">
        <v>659813</v>
      </c>
      <c r="B246" s="191" t="s">
        <v>523</v>
      </c>
      <c r="C246" s="2" t="str">
        <f t="shared" si="17"/>
        <v>KiTa Matthäus, Magnus-u. Matthäusgmd.</v>
      </c>
      <c r="D246" s="177" t="str">
        <f t="shared" si="18"/>
        <v>6598</v>
      </c>
      <c r="E246" s="177" t="str">
        <f t="shared" ref="E246:E261" si="19">$M$1&amp;$D246</f>
        <v>900036598</v>
      </c>
      <c r="F246" s="3">
        <v>900036598</v>
      </c>
      <c r="G246" s="261" t="s">
        <v>404</v>
      </c>
      <c r="H246" s="258"/>
      <c r="I246" s="258"/>
      <c r="J246" s="258"/>
      <c r="K246" s="258"/>
    </row>
    <row r="247" spans="1:11" x14ac:dyDescent="0.2">
      <c r="A247" s="256">
        <v>659814</v>
      </c>
      <c r="B247" s="191" t="s">
        <v>524</v>
      </c>
      <c r="C247" s="2" t="str">
        <f t="shared" si="17"/>
        <v>KiTa Kleines-Ich, Neuhausen</v>
      </c>
      <c r="D247" s="177" t="str">
        <f t="shared" si="18"/>
        <v>6598</v>
      </c>
      <c r="E247" s="177" t="str">
        <f t="shared" si="19"/>
        <v>900036598</v>
      </c>
      <c r="F247" s="3">
        <v>900036598</v>
      </c>
      <c r="G247" s="261" t="s">
        <v>404</v>
      </c>
      <c r="H247" s="258"/>
      <c r="I247" s="258"/>
      <c r="J247" s="258"/>
      <c r="K247" s="258"/>
    </row>
    <row r="248" spans="1:11" x14ac:dyDescent="0.2">
      <c r="A248" s="256">
        <v>659815</v>
      </c>
      <c r="B248" s="191" t="s">
        <v>525</v>
      </c>
      <c r="C248" s="2" t="str">
        <f t="shared" si="17"/>
        <v>KiTa Abrahams Kinder, Neuhausen</v>
      </c>
      <c r="D248" s="177" t="str">
        <f t="shared" si="18"/>
        <v>6598</v>
      </c>
      <c r="E248" s="177" t="str">
        <f t="shared" si="19"/>
        <v>900036598</v>
      </c>
      <c r="F248" s="3">
        <v>900036598</v>
      </c>
      <c r="G248" s="261" t="s">
        <v>404</v>
      </c>
      <c r="H248" s="258"/>
      <c r="I248" s="258"/>
      <c r="J248" s="258"/>
      <c r="K248" s="258"/>
    </row>
    <row r="249" spans="1:11" x14ac:dyDescent="0.2">
      <c r="A249" s="256">
        <v>659816</v>
      </c>
      <c r="B249" s="191" t="s">
        <v>526</v>
      </c>
      <c r="C249" s="2" t="str">
        <f t="shared" si="17"/>
        <v>KiTa Am Engelsberg, Offstein</v>
      </c>
      <c r="D249" s="177" t="str">
        <f t="shared" si="18"/>
        <v>6598</v>
      </c>
      <c r="E249" s="177" t="str">
        <f t="shared" si="19"/>
        <v>900036598</v>
      </c>
      <c r="F249" s="3">
        <v>900036598</v>
      </c>
      <c r="G249" s="261" t="s">
        <v>404</v>
      </c>
      <c r="H249" s="258"/>
      <c r="I249" s="258"/>
      <c r="J249" s="258"/>
      <c r="K249" s="258"/>
    </row>
    <row r="250" spans="1:11" x14ac:dyDescent="0.2">
      <c r="A250" s="256">
        <v>659817</v>
      </c>
      <c r="B250" s="191" t="s">
        <v>527</v>
      </c>
      <c r="C250" s="2" t="str">
        <f t="shared" si="17"/>
        <v>KiTa Pfiffligheim</v>
      </c>
      <c r="D250" s="177" t="str">
        <f t="shared" si="18"/>
        <v>6598</v>
      </c>
      <c r="E250" s="177" t="str">
        <f t="shared" si="19"/>
        <v>900036598</v>
      </c>
      <c r="F250" s="3">
        <v>900036598</v>
      </c>
      <c r="G250" s="261" t="s">
        <v>404</v>
      </c>
      <c r="H250" s="258"/>
      <c r="I250" s="258"/>
      <c r="J250" s="258"/>
      <c r="K250" s="258"/>
    </row>
    <row r="251" spans="1:11" x14ac:dyDescent="0.2">
      <c r="A251" s="256">
        <v>659818</v>
      </c>
      <c r="B251" s="191" t="s">
        <v>528</v>
      </c>
      <c r="C251" s="2" t="str">
        <f t="shared" si="17"/>
        <v>KiTa Mölsheim</v>
      </c>
      <c r="D251" s="177" t="str">
        <f t="shared" si="18"/>
        <v>6598</v>
      </c>
      <c r="E251" s="177" t="str">
        <f t="shared" si="19"/>
        <v>900036598</v>
      </c>
      <c r="F251" s="3">
        <v>900036598</v>
      </c>
      <c r="G251" s="261" t="s">
        <v>404</v>
      </c>
      <c r="H251" s="258"/>
      <c r="I251" s="258"/>
      <c r="J251" s="258"/>
      <c r="K251" s="258"/>
    </row>
    <row r="252" spans="1:11" x14ac:dyDescent="0.2">
      <c r="A252" s="256">
        <v>659819</v>
      </c>
      <c r="B252" s="191" t="s">
        <v>529</v>
      </c>
      <c r="C252" s="2" t="str">
        <f t="shared" si="17"/>
        <v>KiTa Wachenheim</v>
      </c>
      <c r="D252" s="177" t="str">
        <f t="shared" si="18"/>
        <v>6598</v>
      </c>
      <c r="E252" s="177" t="str">
        <f t="shared" si="19"/>
        <v>900036598</v>
      </c>
      <c r="F252" s="3">
        <v>900036598</v>
      </c>
      <c r="G252" s="261" t="s">
        <v>404</v>
      </c>
      <c r="H252" s="258"/>
      <c r="I252" s="258"/>
      <c r="J252" s="258"/>
      <c r="K252" s="258"/>
    </row>
    <row r="253" spans="1:11" x14ac:dyDescent="0.2">
      <c r="A253" s="256">
        <v>659820</v>
      </c>
      <c r="B253" s="191" t="s">
        <v>530</v>
      </c>
      <c r="C253" s="2" t="str">
        <f t="shared" si="17"/>
        <v>KiTa Dalsheim</v>
      </c>
      <c r="D253" s="177" t="str">
        <f t="shared" si="18"/>
        <v>6598</v>
      </c>
      <c r="E253" s="177" t="str">
        <f t="shared" si="19"/>
        <v>900036598</v>
      </c>
      <c r="F253" s="3">
        <v>900036598</v>
      </c>
      <c r="G253" s="261" t="s">
        <v>404</v>
      </c>
      <c r="H253" s="258"/>
      <c r="I253" s="258"/>
      <c r="J253" s="258"/>
      <c r="K253" s="258"/>
    </row>
    <row r="254" spans="1:11" x14ac:dyDescent="0.2">
      <c r="A254" s="256">
        <v>659822</v>
      </c>
      <c r="B254" s="191" t="s">
        <v>531</v>
      </c>
      <c r="C254" s="2" t="str">
        <f t="shared" si="17"/>
        <v>KiTa Sterngasse, Friedrichsgemeinde</v>
      </c>
      <c r="D254" s="177" t="str">
        <f t="shared" si="18"/>
        <v>6598</v>
      </c>
      <c r="E254" s="177" t="str">
        <f t="shared" si="19"/>
        <v>900036598</v>
      </c>
      <c r="F254" s="3">
        <v>900036598</v>
      </c>
      <c r="G254" s="261" t="s">
        <v>404</v>
      </c>
      <c r="H254" s="258"/>
      <c r="I254" s="258"/>
      <c r="J254" s="258"/>
      <c r="K254" s="258"/>
    </row>
    <row r="255" spans="1:11" x14ac:dyDescent="0.2">
      <c r="A255" s="256">
        <v>659823</v>
      </c>
      <c r="B255" s="261" t="s">
        <v>532</v>
      </c>
      <c r="C255" s="2" t="str">
        <f t="shared" si="17"/>
        <v>KiTa Pfeddersheim</v>
      </c>
      <c r="D255" s="177" t="str">
        <f t="shared" si="18"/>
        <v>6598</v>
      </c>
      <c r="E255" s="177" t="str">
        <f t="shared" si="19"/>
        <v>900036598</v>
      </c>
      <c r="F255" s="3">
        <v>900036598</v>
      </c>
      <c r="G255" s="261" t="s">
        <v>404</v>
      </c>
      <c r="H255" s="258"/>
      <c r="I255" s="258"/>
      <c r="J255" s="258"/>
      <c r="K255" s="258"/>
    </row>
    <row r="256" spans="1:11" x14ac:dyDescent="0.2">
      <c r="A256" s="256">
        <v>659824</v>
      </c>
      <c r="B256" s="261" t="s">
        <v>533</v>
      </c>
      <c r="C256" s="2" t="str">
        <f t="shared" si="17"/>
        <v>KiTa Osthofen</v>
      </c>
      <c r="D256" s="177" t="str">
        <f t="shared" si="18"/>
        <v>6598</v>
      </c>
      <c r="E256" s="177" t="str">
        <f t="shared" si="19"/>
        <v>900036598</v>
      </c>
      <c r="F256" s="3">
        <v>900036598</v>
      </c>
      <c r="G256" s="261" t="s">
        <v>404</v>
      </c>
      <c r="H256" s="258"/>
      <c r="I256" s="258"/>
      <c r="J256" s="258"/>
      <c r="K256" s="258"/>
    </row>
    <row r="257" spans="1:11" x14ac:dyDescent="0.2">
      <c r="A257" s="256">
        <v>659825</v>
      </c>
      <c r="B257" s="261" t="s">
        <v>534</v>
      </c>
      <c r="C257" s="2" t="str">
        <f t="shared" si="17"/>
        <v>KiTa Seebachfrösche, Westhofen</v>
      </c>
      <c r="D257" s="177" t="str">
        <f t="shared" si="18"/>
        <v>6598</v>
      </c>
      <c r="E257" s="177" t="str">
        <f t="shared" si="19"/>
        <v>900036598</v>
      </c>
      <c r="F257" s="3">
        <v>900036598</v>
      </c>
      <c r="G257" s="261" t="s">
        <v>404</v>
      </c>
      <c r="H257" s="258"/>
      <c r="I257" s="258"/>
      <c r="J257" s="258"/>
      <c r="K257" s="258"/>
    </row>
    <row r="258" spans="1:11" x14ac:dyDescent="0.2">
      <c r="A258" s="256">
        <v>659826</v>
      </c>
      <c r="B258" s="261" t="s">
        <v>535</v>
      </c>
      <c r="C258" s="2" t="str">
        <f t="shared" si="17"/>
        <v>KiTa Regenbogen, Eich</v>
      </c>
      <c r="D258" s="177" t="str">
        <f t="shared" si="18"/>
        <v>6598</v>
      </c>
      <c r="E258" s="177" t="str">
        <f t="shared" si="19"/>
        <v>900036598</v>
      </c>
      <c r="F258" s="3">
        <v>900036598</v>
      </c>
      <c r="G258" s="261" t="s">
        <v>404</v>
      </c>
      <c r="H258" s="258"/>
      <c r="I258" s="258"/>
      <c r="J258" s="258"/>
      <c r="K258" s="258"/>
    </row>
    <row r="259" spans="1:11" x14ac:dyDescent="0.2">
      <c r="A259" s="256">
        <v>659827</v>
      </c>
      <c r="B259" s="261" t="s">
        <v>536</v>
      </c>
      <c r="C259" s="2" t="str">
        <f t="shared" si="17"/>
        <v>KiTa Morgenstern Mörstadt</v>
      </c>
      <c r="D259" s="177" t="str">
        <f t="shared" si="18"/>
        <v>6598</v>
      </c>
      <c r="E259" s="177" t="str">
        <f t="shared" si="19"/>
        <v>900036598</v>
      </c>
      <c r="F259" s="3">
        <v>900036598</v>
      </c>
      <c r="G259" s="261" t="s">
        <v>404</v>
      </c>
      <c r="H259" s="258"/>
      <c r="I259" s="258"/>
      <c r="J259" s="258"/>
      <c r="K259" s="258"/>
    </row>
    <row r="260" spans="1:11" x14ac:dyDescent="0.2">
      <c r="A260" s="256">
        <v>916000</v>
      </c>
      <c r="B260" s="191" t="s">
        <v>537</v>
      </c>
      <c r="C260" s="2" t="str">
        <f>B260</f>
        <v>Gesamtgemeinde Worms</v>
      </c>
      <c r="D260" s="177" t="str">
        <f t="shared" si="18"/>
        <v>9160</v>
      </c>
      <c r="E260" s="177" t="str">
        <f t="shared" si="19"/>
        <v>900039160</v>
      </c>
      <c r="F260" s="3">
        <v>900036598</v>
      </c>
      <c r="G260" s="261" t="s">
        <v>404</v>
      </c>
      <c r="H260" s="258"/>
      <c r="I260" s="258"/>
      <c r="J260" s="258"/>
      <c r="K260" s="258"/>
    </row>
    <row r="261" spans="1:11" x14ac:dyDescent="0.2">
      <c r="A261" s="256">
        <v>916027</v>
      </c>
      <c r="B261" s="191" t="s">
        <v>538</v>
      </c>
      <c r="C261" s="2" t="str">
        <f>MID(B261,5,100)</f>
        <v>KiTa Leiselheim / Sonderteil (GG Worms)</v>
      </c>
      <c r="D261" s="177" t="str">
        <f t="shared" si="18"/>
        <v>9160</v>
      </c>
      <c r="E261" s="177" t="str">
        <f t="shared" si="19"/>
        <v>900039160</v>
      </c>
      <c r="F261" s="3">
        <v>900036598</v>
      </c>
      <c r="G261" s="261" t="s">
        <v>404</v>
      </c>
      <c r="H261" s="258"/>
      <c r="I261" s="258"/>
      <c r="J261" s="258"/>
      <c r="K261" s="258"/>
    </row>
    <row r="262" spans="1:11" x14ac:dyDescent="0.2">
      <c r="A262" s="256"/>
      <c r="B262" s="253"/>
      <c r="C262" s="176"/>
      <c r="D262" s="177"/>
      <c r="F262" s="177"/>
      <c r="G262" s="254"/>
      <c r="H262" s="258"/>
      <c r="I262" s="258"/>
      <c r="J262" s="258"/>
      <c r="K262" s="258"/>
    </row>
    <row r="263" spans="1:11" x14ac:dyDescent="0.2">
      <c r="A263" s="256"/>
      <c r="B263" s="253"/>
      <c r="C263" s="176"/>
      <c r="D263" s="177"/>
      <c r="F263" s="177"/>
      <c r="G263" s="254"/>
      <c r="H263" s="258"/>
      <c r="I263" s="258"/>
      <c r="J263" s="258"/>
      <c r="K263" s="258"/>
    </row>
    <row r="264" spans="1:11" x14ac:dyDescent="0.2">
      <c r="A264" s="256"/>
      <c r="B264" s="253"/>
      <c r="C264" s="176"/>
      <c r="D264" s="177"/>
      <c r="F264" s="177"/>
      <c r="G264" s="254"/>
      <c r="H264" s="258"/>
      <c r="I264" s="258"/>
      <c r="J264" s="258"/>
      <c r="K264" s="258"/>
    </row>
    <row r="265" spans="1:11" x14ac:dyDescent="0.2">
      <c r="A265" s="256"/>
      <c r="B265" s="253"/>
      <c r="C265" s="176"/>
      <c r="D265" s="177"/>
      <c r="F265" s="177"/>
      <c r="G265" s="254"/>
      <c r="H265" s="258"/>
      <c r="I265" s="258"/>
      <c r="J265" s="258"/>
      <c r="K265" s="258"/>
    </row>
    <row r="266" spans="1:11" x14ac:dyDescent="0.2">
      <c r="A266" s="256"/>
      <c r="B266" s="253"/>
      <c r="C266" s="176"/>
      <c r="D266" s="177"/>
      <c r="F266" s="177"/>
      <c r="G266" s="254"/>
      <c r="H266" s="258"/>
      <c r="I266" s="258"/>
      <c r="J266" s="258"/>
      <c r="K266" s="258"/>
    </row>
    <row r="267" spans="1:11" x14ac:dyDescent="0.2">
      <c r="A267" s="256"/>
      <c r="B267" s="254"/>
      <c r="C267" s="176"/>
      <c r="D267" s="177"/>
      <c r="F267" s="177"/>
      <c r="G267" s="254"/>
      <c r="H267" s="258"/>
      <c r="I267" s="258"/>
      <c r="J267" s="258"/>
      <c r="K267" s="258"/>
    </row>
    <row r="268" spans="1:11" x14ac:dyDescent="0.2">
      <c r="A268" s="256"/>
      <c r="B268" s="253"/>
      <c r="C268" s="176"/>
      <c r="D268" s="177"/>
      <c r="F268" s="177"/>
      <c r="G268" s="254"/>
      <c r="H268" s="258"/>
      <c r="I268" s="258"/>
      <c r="J268" s="258"/>
      <c r="K268" s="258"/>
    </row>
    <row r="269" spans="1:11" x14ac:dyDescent="0.2">
      <c r="A269" s="259"/>
      <c r="B269" s="176"/>
      <c r="C269" s="176"/>
      <c r="F269" s="177"/>
      <c r="G269" s="258"/>
      <c r="H269" s="258"/>
      <c r="I269" s="258"/>
      <c r="J269" s="258"/>
      <c r="K269" s="258"/>
    </row>
    <row r="270" spans="1:11" x14ac:dyDescent="0.2">
      <c r="A270" s="259"/>
      <c r="B270" s="176"/>
      <c r="C270" s="176"/>
      <c r="F270" s="177"/>
      <c r="G270" s="258"/>
      <c r="H270" s="258"/>
      <c r="I270" s="258"/>
      <c r="J270" s="258"/>
      <c r="K270" s="258"/>
    </row>
    <row r="271" spans="1:11" x14ac:dyDescent="0.2">
      <c r="A271" s="259"/>
      <c r="B271" s="176"/>
      <c r="C271" s="176"/>
      <c r="F271" s="177"/>
      <c r="G271" s="258"/>
      <c r="H271" s="258"/>
      <c r="I271" s="258"/>
      <c r="J271" s="258"/>
      <c r="K271" s="258"/>
    </row>
    <row r="272" spans="1:11" x14ac:dyDescent="0.2">
      <c r="A272" s="259"/>
      <c r="B272" s="176"/>
      <c r="C272" s="176"/>
      <c r="F272" s="177"/>
      <c r="G272" s="258"/>
      <c r="H272" s="258"/>
      <c r="I272" s="258"/>
      <c r="J272" s="258"/>
      <c r="K272" s="258"/>
    </row>
    <row r="273" spans="1:11" x14ac:dyDescent="0.2">
      <c r="A273" s="259"/>
      <c r="B273" s="176"/>
      <c r="C273" s="176"/>
      <c r="F273" s="177"/>
      <c r="G273" s="258"/>
      <c r="H273" s="258"/>
      <c r="I273" s="258"/>
      <c r="J273" s="258"/>
      <c r="K273" s="258"/>
    </row>
    <row r="274" spans="1:11" x14ac:dyDescent="0.2">
      <c r="A274" s="259"/>
      <c r="B274" s="176"/>
      <c r="C274" s="176"/>
      <c r="F274" s="177"/>
      <c r="G274" s="258"/>
      <c r="H274" s="258"/>
      <c r="I274" s="258"/>
      <c r="J274" s="258"/>
      <c r="K274" s="258"/>
    </row>
    <row r="275" spans="1:11" x14ac:dyDescent="0.2">
      <c r="A275" s="259"/>
      <c r="B275" s="176"/>
      <c r="C275" s="176"/>
      <c r="F275" s="177"/>
      <c r="G275" s="258"/>
      <c r="H275" s="258"/>
      <c r="I275" s="258"/>
      <c r="J275" s="258"/>
      <c r="K275" s="258"/>
    </row>
    <row r="276" spans="1:11" x14ac:dyDescent="0.2">
      <c r="A276" s="259"/>
      <c r="B276" s="176"/>
      <c r="C276" s="176"/>
      <c r="F276" s="177"/>
      <c r="G276" s="258"/>
      <c r="H276" s="258"/>
      <c r="I276" s="258"/>
      <c r="J276" s="258"/>
      <c r="K276" s="258"/>
    </row>
    <row r="277" spans="1:11" x14ac:dyDescent="0.2">
      <c r="A277" s="259"/>
      <c r="B277" s="176"/>
      <c r="C277" s="176"/>
      <c r="F277" s="177"/>
      <c r="G277" s="258"/>
      <c r="H277" s="258"/>
      <c r="I277" s="258"/>
      <c r="J277" s="258"/>
      <c r="K277" s="258"/>
    </row>
    <row r="278" spans="1:11" x14ac:dyDescent="0.2">
      <c r="A278" s="259"/>
      <c r="B278" s="176"/>
      <c r="C278" s="176"/>
      <c r="F278" s="177"/>
      <c r="G278" s="258"/>
      <c r="H278" s="258"/>
      <c r="I278" s="258"/>
      <c r="J278" s="258"/>
      <c r="K278" s="258"/>
    </row>
    <row r="279" spans="1:11" x14ac:dyDescent="0.2">
      <c r="A279" s="259"/>
      <c r="B279" s="176"/>
      <c r="C279" s="176"/>
      <c r="F279" s="177"/>
      <c r="G279" s="258"/>
      <c r="H279" s="258"/>
      <c r="I279" s="258"/>
      <c r="J279" s="258"/>
      <c r="K279" s="258"/>
    </row>
    <row r="280" spans="1:11" x14ac:dyDescent="0.2">
      <c r="A280" s="259"/>
      <c r="B280" s="176"/>
      <c r="C280" s="176"/>
      <c r="F280" s="177"/>
      <c r="G280" s="258"/>
      <c r="H280" s="258"/>
      <c r="I280" s="258"/>
      <c r="J280" s="258"/>
      <c r="K280" s="258"/>
    </row>
    <row r="281" spans="1:11" x14ac:dyDescent="0.2">
      <c r="A281" s="259"/>
      <c r="B281" s="176"/>
      <c r="C281" s="176"/>
      <c r="F281" s="177"/>
      <c r="G281" s="258"/>
      <c r="H281" s="258"/>
      <c r="I281" s="258"/>
      <c r="J281" s="258"/>
      <c r="K281" s="258"/>
    </row>
    <row r="282" spans="1:11" x14ac:dyDescent="0.2">
      <c r="A282" s="259"/>
      <c r="B282" s="176"/>
      <c r="C282" s="176"/>
      <c r="F282" s="177"/>
      <c r="G282" s="258"/>
      <c r="H282" s="258"/>
      <c r="I282" s="258"/>
      <c r="J282" s="258"/>
      <c r="K282" s="258"/>
    </row>
    <row r="283" spans="1:11" x14ac:dyDescent="0.2">
      <c r="A283" s="259"/>
      <c r="B283" s="176"/>
      <c r="C283" s="176"/>
      <c r="F283" s="177"/>
      <c r="G283" s="258"/>
      <c r="H283" s="258"/>
      <c r="I283" s="258"/>
      <c r="J283" s="258"/>
      <c r="K283" s="258"/>
    </row>
    <row r="284" spans="1:11" x14ac:dyDescent="0.2">
      <c r="A284" s="259"/>
      <c r="B284" s="176"/>
      <c r="C284" s="176"/>
      <c r="F284" s="177"/>
      <c r="G284" s="258"/>
      <c r="H284" s="258"/>
      <c r="I284" s="258"/>
      <c r="J284" s="258"/>
      <c r="K284" s="258"/>
    </row>
    <row r="285" spans="1:11" x14ac:dyDescent="0.2">
      <c r="A285" s="259"/>
      <c r="B285" s="176"/>
      <c r="C285" s="176"/>
      <c r="F285" s="177"/>
      <c r="G285" s="258"/>
      <c r="H285" s="258"/>
      <c r="I285" s="258"/>
      <c r="J285" s="258"/>
      <c r="K285" s="258"/>
    </row>
    <row r="286" spans="1:11" x14ac:dyDescent="0.2">
      <c r="A286" s="259"/>
      <c r="B286" s="176"/>
      <c r="C286" s="176"/>
      <c r="F286" s="177"/>
      <c r="G286" s="258"/>
      <c r="H286" s="258"/>
      <c r="I286" s="258"/>
      <c r="J286" s="258"/>
      <c r="K286" s="258"/>
    </row>
  </sheetData>
  <sheetProtection password="C597" sheet="1" objects="1" scenarios="1" selectLockedCells="1" selectUnlockedCells="1"/>
  <pageMargins left="0.78740157499999996" right="0.78740157499999996" top="0.984251969" bottom="0.984251969" header="0.4921259845" footer="0.4921259845"/>
  <pageSetup paperSize="9" orientation="portrait" horizontalDpi="1200"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N70"/>
  <sheetViews>
    <sheetView showGridLines="0" zoomScale="90" zoomScaleNormal="90" workbookViewId="0">
      <selection activeCell="D31" sqref="D31"/>
    </sheetView>
  </sheetViews>
  <sheetFormatPr baseColWidth="10" defaultRowHeight="12.75" x14ac:dyDescent="0.2"/>
  <cols>
    <col min="1" max="1" width="11.42578125" style="34"/>
    <col min="2" max="2" width="2.28515625" style="34" customWidth="1"/>
    <col min="3" max="3" width="6.42578125" style="33" customWidth="1"/>
    <col min="4" max="4" width="10.42578125" style="37" customWidth="1"/>
    <col min="5" max="5" width="45.5703125" style="34" bestFit="1" customWidth="1"/>
    <col min="6" max="6" width="32.85546875" style="34" customWidth="1"/>
    <col min="7" max="7" width="6" style="34" bestFit="1" customWidth="1"/>
    <col min="8" max="8" width="2" style="34" customWidth="1"/>
    <col min="9" max="9" width="6.42578125" style="33" customWidth="1"/>
    <col min="10" max="10" width="10.42578125" style="37" customWidth="1"/>
    <col min="11" max="11" width="37.42578125" style="34" customWidth="1"/>
    <col min="12" max="12" width="45.5703125" style="34" bestFit="1" customWidth="1"/>
    <col min="13" max="13" width="47.140625" style="34" bestFit="1" customWidth="1"/>
    <col min="14" max="15" width="11.42578125" style="34"/>
    <col min="16" max="16" width="45.5703125" style="34" bestFit="1" customWidth="1"/>
    <col min="17" max="255" width="11.42578125" style="34"/>
    <col min="256" max="256" width="14" style="34" customWidth="1"/>
    <col min="257" max="261" width="11.42578125" style="34"/>
    <col min="262" max="262" width="8.85546875" style="34" customWidth="1"/>
    <col min="263" max="263" width="11.42578125" style="34"/>
    <col min="264" max="264" width="11.140625" style="34" customWidth="1"/>
    <col min="265" max="511" width="11.42578125" style="34"/>
    <col min="512" max="512" width="14" style="34" customWidth="1"/>
    <col min="513" max="517" width="11.42578125" style="34"/>
    <col min="518" max="518" width="8.85546875" style="34" customWidth="1"/>
    <col min="519" max="519" width="11.42578125" style="34"/>
    <col min="520" max="520" width="11.140625" style="34" customWidth="1"/>
    <col min="521" max="767" width="11.42578125" style="34"/>
    <col min="768" max="768" width="14" style="34" customWidth="1"/>
    <col min="769" max="773" width="11.42578125" style="34"/>
    <col min="774" max="774" width="8.85546875" style="34" customWidth="1"/>
    <col min="775" max="775" width="11.42578125" style="34"/>
    <col min="776" max="776" width="11.140625" style="34" customWidth="1"/>
    <col min="777" max="1023" width="11.42578125" style="34"/>
    <col min="1024" max="1024" width="14" style="34" customWidth="1"/>
    <col min="1025" max="1029" width="11.42578125" style="34"/>
    <col min="1030" max="1030" width="8.85546875" style="34" customWidth="1"/>
    <col min="1031" max="1031" width="11.42578125" style="34"/>
    <col min="1032" max="1032" width="11.140625" style="34" customWidth="1"/>
    <col min="1033" max="1279" width="11.42578125" style="34"/>
    <col min="1280" max="1280" width="14" style="34" customWidth="1"/>
    <col min="1281" max="1285" width="11.42578125" style="34"/>
    <col min="1286" max="1286" width="8.85546875" style="34" customWidth="1"/>
    <col min="1287" max="1287" width="11.42578125" style="34"/>
    <col min="1288" max="1288" width="11.140625" style="34" customWidth="1"/>
    <col min="1289" max="1535" width="11.42578125" style="34"/>
    <col min="1536" max="1536" width="14" style="34" customWidth="1"/>
    <col min="1537" max="1541" width="11.42578125" style="34"/>
    <col min="1542" max="1542" width="8.85546875" style="34" customWidth="1"/>
    <col min="1543" max="1543" width="11.42578125" style="34"/>
    <col min="1544" max="1544" width="11.140625" style="34" customWidth="1"/>
    <col min="1545" max="1791" width="11.42578125" style="34"/>
    <col min="1792" max="1792" width="14" style="34" customWidth="1"/>
    <col min="1793" max="1797" width="11.42578125" style="34"/>
    <col min="1798" max="1798" width="8.85546875" style="34" customWidth="1"/>
    <col min="1799" max="1799" width="11.42578125" style="34"/>
    <col min="1800" max="1800" width="11.140625" style="34" customWidth="1"/>
    <col min="1801" max="2047" width="11.42578125" style="34"/>
    <col min="2048" max="2048" width="14" style="34" customWidth="1"/>
    <col min="2049" max="2053" width="11.42578125" style="34"/>
    <col min="2054" max="2054" width="8.85546875" style="34" customWidth="1"/>
    <col min="2055" max="2055" width="11.42578125" style="34"/>
    <col min="2056" max="2056" width="11.140625" style="34" customWidth="1"/>
    <col min="2057" max="2303" width="11.42578125" style="34"/>
    <col min="2304" max="2304" width="14" style="34" customWidth="1"/>
    <col min="2305" max="2309" width="11.42578125" style="34"/>
    <col min="2310" max="2310" width="8.85546875" style="34" customWidth="1"/>
    <col min="2311" max="2311" width="11.42578125" style="34"/>
    <col min="2312" max="2312" width="11.140625" style="34" customWidth="1"/>
    <col min="2313" max="2559" width="11.42578125" style="34"/>
    <col min="2560" max="2560" width="14" style="34" customWidth="1"/>
    <col min="2561" max="2565" width="11.42578125" style="34"/>
    <col min="2566" max="2566" width="8.85546875" style="34" customWidth="1"/>
    <col min="2567" max="2567" width="11.42578125" style="34"/>
    <col min="2568" max="2568" width="11.140625" style="34" customWidth="1"/>
    <col min="2569" max="2815" width="11.42578125" style="34"/>
    <col min="2816" max="2816" width="14" style="34" customWidth="1"/>
    <col min="2817" max="2821" width="11.42578125" style="34"/>
    <col min="2822" max="2822" width="8.85546875" style="34" customWidth="1"/>
    <col min="2823" max="2823" width="11.42578125" style="34"/>
    <col min="2824" max="2824" width="11.140625" style="34" customWidth="1"/>
    <col min="2825" max="3071" width="11.42578125" style="34"/>
    <col min="3072" max="3072" width="14" style="34" customWidth="1"/>
    <col min="3073" max="3077" width="11.42578125" style="34"/>
    <col min="3078" max="3078" width="8.85546875" style="34" customWidth="1"/>
    <col min="3079" max="3079" width="11.42578125" style="34"/>
    <col min="3080" max="3080" width="11.140625" style="34" customWidth="1"/>
    <col min="3081" max="3327" width="11.42578125" style="34"/>
    <col min="3328" max="3328" width="14" style="34" customWidth="1"/>
    <col min="3329" max="3333" width="11.42578125" style="34"/>
    <col min="3334" max="3334" width="8.85546875" style="34" customWidth="1"/>
    <col min="3335" max="3335" width="11.42578125" style="34"/>
    <col min="3336" max="3336" width="11.140625" style="34" customWidth="1"/>
    <col min="3337" max="3583" width="11.42578125" style="34"/>
    <col min="3584" max="3584" width="14" style="34" customWidth="1"/>
    <col min="3585" max="3589" width="11.42578125" style="34"/>
    <col min="3590" max="3590" width="8.85546875" style="34" customWidth="1"/>
    <col min="3591" max="3591" width="11.42578125" style="34"/>
    <col min="3592" max="3592" width="11.140625" style="34" customWidth="1"/>
    <col min="3593" max="3839" width="11.42578125" style="34"/>
    <col min="3840" max="3840" width="14" style="34" customWidth="1"/>
    <col min="3841" max="3845" width="11.42578125" style="34"/>
    <col min="3846" max="3846" width="8.85546875" style="34" customWidth="1"/>
    <col min="3847" max="3847" width="11.42578125" style="34"/>
    <col min="3848" max="3848" width="11.140625" style="34" customWidth="1"/>
    <col min="3849" max="4095" width="11.42578125" style="34"/>
    <col min="4096" max="4096" width="14" style="34" customWidth="1"/>
    <col min="4097" max="4101" width="11.42578125" style="34"/>
    <col min="4102" max="4102" width="8.85546875" style="34" customWidth="1"/>
    <col min="4103" max="4103" width="11.42578125" style="34"/>
    <col min="4104" max="4104" width="11.140625" style="34" customWidth="1"/>
    <col min="4105" max="4351" width="11.42578125" style="34"/>
    <col min="4352" max="4352" width="14" style="34" customWidth="1"/>
    <col min="4353" max="4357" width="11.42578125" style="34"/>
    <col min="4358" max="4358" width="8.85546875" style="34" customWidth="1"/>
    <col min="4359" max="4359" width="11.42578125" style="34"/>
    <col min="4360" max="4360" width="11.140625" style="34" customWidth="1"/>
    <col min="4361" max="4607" width="11.42578125" style="34"/>
    <col min="4608" max="4608" width="14" style="34" customWidth="1"/>
    <col min="4609" max="4613" width="11.42578125" style="34"/>
    <col min="4614" max="4614" width="8.85546875" style="34" customWidth="1"/>
    <col min="4615" max="4615" width="11.42578125" style="34"/>
    <col min="4616" max="4616" width="11.140625" style="34" customWidth="1"/>
    <col min="4617" max="4863" width="11.42578125" style="34"/>
    <col min="4864" max="4864" width="14" style="34" customWidth="1"/>
    <col min="4865" max="4869" width="11.42578125" style="34"/>
    <col min="4870" max="4870" width="8.85546875" style="34" customWidth="1"/>
    <col min="4871" max="4871" width="11.42578125" style="34"/>
    <col min="4872" max="4872" width="11.140625" style="34" customWidth="1"/>
    <col min="4873" max="5119" width="11.42578125" style="34"/>
    <col min="5120" max="5120" width="14" style="34" customWidth="1"/>
    <col min="5121" max="5125" width="11.42578125" style="34"/>
    <col min="5126" max="5126" width="8.85546875" style="34" customWidth="1"/>
    <col min="5127" max="5127" width="11.42578125" style="34"/>
    <col min="5128" max="5128" width="11.140625" style="34" customWidth="1"/>
    <col min="5129" max="5375" width="11.42578125" style="34"/>
    <col min="5376" max="5376" width="14" style="34" customWidth="1"/>
    <col min="5377" max="5381" width="11.42578125" style="34"/>
    <col min="5382" max="5382" width="8.85546875" style="34" customWidth="1"/>
    <col min="5383" max="5383" width="11.42578125" style="34"/>
    <col min="5384" max="5384" width="11.140625" style="34" customWidth="1"/>
    <col min="5385" max="5631" width="11.42578125" style="34"/>
    <col min="5632" max="5632" width="14" style="34" customWidth="1"/>
    <col min="5633" max="5637" width="11.42578125" style="34"/>
    <col min="5638" max="5638" width="8.85546875" style="34" customWidth="1"/>
    <col min="5639" max="5639" width="11.42578125" style="34"/>
    <col min="5640" max="5640" width="11.140625" style="34" customWidth="1"/>
    <col min="5641" max="5887" width="11.42578125" style="34"/>
    <col min="5888" max="5888" width="14" style="34" customWidth="1"/>
    <col min="5889" max="5893" width="11.42578125" style="34"/>
    <col min="5894" max="5894" width="8.85546875" style="34" customWidth="1"/>
    <col min="5895" max="5895" width="11.42578125" style="34"/>
    <col min="5896" max="5896" width="11.140625" style="34" customWidth="1"/>
    <col min="5897" max="6143" width="11.42578125" style="34"/>
    <col min="6144" max="6144" width="14" style="34" customWidth="1"/>
    <col min="6145" max="6149" width="11.42578125" style="34"/>
    <col min="6150" max="6150" width="8.85546875" style="34" customWidth="1"/>
    <col min="6151" max="6151" width="11.42578125" style="34"/>
    <col min="6152" max="6152" width="11.140625" style="34" customWidth="1"/>
    <col min="6153" max="6399" width="11.42578125" style="34"/>
    <col min="6400" max="6400" width="14" style="34" customWidth="1"/>
    <col min="6401" max="6405" width="11.42578125" style="34"/>
    <col min="6406" max="6406" width="8.85546875" style="34" customWidth="1"/>
    <col min="6407" max="6407" width="11.42578125" style="34"/>
    <col min="6408" max="6408" width="11.140625" style="34" customWidth="1"/>
    <col min="6409" max="6655" width="11.42578125" style="34"/>
    <col min="6656" max="6656" width="14" style="34" customWidth="1"/>
    <col min="6657" max="6661" width="11.42578125" style="34"/>
    <col min="6662" max="6662" width="8.85546875" style="34" customWidth="1"/>
    <col min="6663" max="6663" width="11.42578125" style="34"/>
    <col min="6664" max="6664" width="11.140625" style="34" customWidth="1"/>
    <col min="6665" max="6911" width="11.42578125" style="34"/>
    <col min="6912" max="6912" width="14" style="34" customWidth="1"/>
    <col min="6913" max="6917" width="11.42578125" style="34"/>
    <col min="6918" max="6918" width="8.85546875" style="34" customWidth="1"/>
    <col min="6919" max="6919" width="11.42578125" style="34"/>
    <col min="6920" max="6920" width="11.140625" style="34" customWidth="1"/>
    <col min="6921" max="7167" width="11.42578125" style="34"/>
    <col min="7168" max="7168" width="14" style="34" customWidth="1"/>
    <col min="7169" max="7173" width="11.42578125" style="34"/>
    <col min="7174" max="7174" width="8.85546875" style="34" customWidth="1"/>
    <col min="7175" max="7175" width="11.42578125" style="34"/>
    <col min="7176" max="7176" width="11.140625" style="34" customWidth="1"/>
    <col min="7177" max="7423" width="11.42578125" style="34"/>
    <col min="7424" max="7424" width="14" style="34" customWidth="1"/>
    <col min="7425" max="7429" width="11.42578125" style="34"/>
    <col min="7430" max="7430" width="8.85546875" style="34" customWidth="1"/>
    <col min="7431" max="7431" width="11.42578125" style="34"/>
    <col min="7432" max="7432" width="11.140625" style="34" customWidth="1"/>
    <col min="7433" max="7679" width="11.42578125" style="34"/>
    <col min="7680" max="7680" width="14" style="34" customWidth="1"/>
    <col min="7681" max="7685" width="11.42578125" style="34"/>
    <col min="7686" max="7686" width="8.85546875" style="34" customWidth="1"/>
    <col min="7687" max="7687" width="11.42578125" style="34"/>
    <col min="7688" max="7688" width="11.140625" style="34" customWidth="1"/>
    <col min="7689" max="7935" width="11.42578125" style="34"/>
    <col min="7936" max="7936" width="14" style="34" customWidth="1"/>
    <col min="7937" max="7941" width="11.42578125" style="34"/>
    <col min="7942" max="7942" width="8.85546875" style="34" customWidth="1"/>
    <col min="7943" max="7943" width="11.42578125" style="34"/>
    <col min="7944" max="7944" width="11.140625" style="34" customWidth="1"/>
    <col min="7945" max="8191" width="11.42578125" style="34"/>
    <col min="8192" max="8192" width="14" style="34" customWidth="1"/>
    <col min="8193" max="8197" width="11.42578125" style="34"/>
    <col min="8198" max="8198" width="8.85546875" style="34" customWidth="1"/>
    <col min="8199" max="8199" width="11.42578125" style="34"/>
    <col min="8200" max="8200" width="11.140625" style="34" customWidth="1"/>
    <col min="8201" max="8447" width="11.42578125" style="34"/>
    <col min="8448" max="8448" width="14" style="34" customWidth="1"/>
    <col min="8449" max="8453" width="11.42578125" style="34"/>
    <col min="8454" max="8454" width="8.85546875" style="34" customWidth="1"/>
    <col min="8455" max="8455" width="11.42578125" style="34"/>
    <col min="8456" max="8456" width="11.140625" style="34" customWidth="1"/>
    <col min="8457" max="8703" width="11.42578125" style="34"/>
    <col min="8704" max="8704" width="14" style="34" customWidth="1"/>
    <col min="8705" max="8709" width="11.42578125" style="34"/>
    <col min="8710" max="8710" width="8.85546875" style="34" customWidth="1"/>
    <col min="8711" max="8711" width="11.42578125" style="34"/>
    <col min="8712" max="8712" width="11.140625" style="34" customWidth="1"/>
    <col min="8713" max="8959" width="11.42578125" style="34"/>
    <col min="8960" max="8960" width="14" style="34" customWidth="1"/>
    <col min="8961" max="8965" width="11.42578125" style="34"/>
    <col min="8966" max="8966" width="8.85546875" style="34" customWidth="1"/>
    <col min="8967" max="8967" width="11.42578125" style="34"/>
    <col min="8968" max="8968" width="11.140625" style="34" customWidth="1"/>
    <col min="8969" max="9215" width="11.42578125" style="34"/>
    <col min="9216" max="9216" width="14" style="34" customWidth="1"/>
    <col min="9217" max="9221" width="11.42578125" style="34"/>
    <col min="9222" max="9222" width="8.85546875" style="34" customWidth="1"/>
    <col min="9223" max="9223" width="11.42578125" style="34"/>
    <col min="9224" max="9224" width="11.140625" style="34" customWidth="1"/>
    <col min="9225" max="9471" width="11.42578125" style="34"/>
    <col min="9472" max="9472" width="14" style="34" customWidth="1"/>
    <col min="9473" max="9477" width="11.42578125" style="34"/>
    <col min="9478" max="9478" width="8.85546875" style="34" customWidth="1"/>
    <col min="9479" max="9479" width="11.42578125" style="34"/>
    <col min="9480" max="9480" width="11.140625" style="34" customWidth="1"/>
    <col min="9481" max="9727" width="11.42578125" style="34"/>
    <col min="9728" max="9728" width="14" style="34" customWidth="1"/>
    <col min="9729" max="9733" width="11.42578125" style="34"/>
    <col min="9734" max="9734" width="8.85546875" style="34" customWidth="1"/>
    <col min="9735" max="9735" width="11.42578125" style="34"/>
    <col min="9736" max="9736" width="11.140625" style="34" customWidth="1"/>
    <col min="9737" max="9983" width="11.42578125" style="34"/>
    <col min="9984" max="9984" width="14" style="34" customWidth="1"/>
    <col min="9985" max="9989" width="11.42578125" style="34"/>
    <col min="9990" max="9990" width="8.85546875" style="34" customWidth="1"/>
    <col min="9991" max="9991" width="11.42578125" style="34"/>
    <col min="9992" max="9992" width="11.140625" style="34" customWidth="1"/>
    <col min="9993" max="10239" width="11.42578125" style="34"/>
    <col min="10240" max="10240" width="14" style="34" customWidth="1"/>
    <col min="10241" max="10245" width="11.42578125" style="34"/>
    <col min="10246" max="10246" width="8.85546875" style="34" customWidth="1"/>
    <col min="10247" max="10247" width="11.42578125" style="34"/>
    <col min="10248" max="10248" width="11.140625" style="34" customWidth="1"/>
    <col min="10249" max="10495" width="11.42578125" style="34"/>
    <col min="10496" max="10496" width="14" style="34" customWidth="1"/>
    <col min="10497" max="10501" width="11.42578125" style="34"/>
    <col min="10502" max="10502" width="8.85546875" style="34" customWidth="1"/>
    <col min="10503" max="10503" width="11.42578125" style="34"/>
    <col min="10504" max="10504" width="11.140625" style="34" customWidth="1"/>
    <col min="10505" max="10751" width="11.42578125" style="34"/>
    <col min="10752" max="10752" width="14" style="34" customWidth="1"/>
    <col min="10753" max="10757" width="11.42578125" style="34"/>
    <col min="10758" max="10758" width="8.85546875" style="34" customWidth="1"/>
    <col min="10759" max="10759" width="11.42578125" style="34"/>
    <col min="10760" max="10760" width="11.140625" style="34" customWidth="1"/>
    <col min="10761" max="11007" width="11.42578125" style="34"/>
    <col min="11008" max="11008" width="14" style="34" customWidth="1"/>
    <col min="11009" max="11013" width="11.42578125" style="34"/>
    <col min="11014" max="11014" width="8.85546875" style="34" customWidth="1"/>
    <col min="11015" max="11015" width="11.42578125" style="34"/>
    <col min="11016" max="11016" width="11.140625" style="34" customWidth="1"/>
    <col min="11017" max="11263" width="11.42578125" style="34"/>
    <col min="11264" max="11264" width="14" style="34" customWidth="1"/>
    <col min="11265" max="11269" width="11.42578125" style="34"/>
    <col min="11270" max="11270" width="8.85546875" style="34" customWidth="1"/>
    <col min="11271" max="11271" width="11.42578125" style="34"/>
    <col min="11272" max="11272" width="11.140625" style="34" customWidth="1"/>
    <col min="11273" max="11519" width="11.42578125" style="34"/>
    <col min="11520" max="11520" width="14" style="34" customWidth="1"/>
    <col min="11521" max="11525" width="11.42578125" style="34"/>
    <col min="11526" max="11526" width="8.85546875" style="34" customWidth="1"/>
    <col min="11527" max="11527" width="11.42578125" style="34"/>
    <col min="11528" max="11528" width="11.140625" style="34" customWidth="1"/>
    <col min="11529" max="11775" width="11.42578125" style="34"/>
    <col min="11776" max="11776" width="14" style="34" customWidth="1"/>
    <col min="11777" max="11781" width="11.42578125" style="34"/>
    <col min="11782" max="11782" width="8.85546875" style="34" customWidth="1"/>
    <col min="11783" max="11783" width="11.42578125" style="34"/>
    <col min="11784" max="11784" width="11.140625" style="34" customWidth="1"/>
    <col min="11785" max="12031" width="11.42578125" style="34"/>
    <col min="12032" max="12032" width="14" style="34" customWidth="1"/>
    <col min="12033" max="12037" width="11.42578125" style="34"/>
    <col min="12038" max="12038" width="8.85546875" style="34" customWidth="1"/>
    <col min="12039" max="12039" width="11.42578125" style="34"/>
    <col min="12040" max="12040" width="11.140625" style="34" customWidth="1"/>
    <col min="12041" max="12287" width="11.42578125" style="34"/>
    <col min="12288" max="12288" width="14" style="34" customWidth="1"/>
    <col min="12289" max="12293" width="11.42578125" style="34"/>
    <col min="12294" max="12294" width="8.85546875" style="34" customWidth="1"/>
    <col min="12295" max="12295" width="11.42578125" style="34"/>
    <col min="12296" max="12296" width="11.140625" style="34" customWidth="1"/>
    <col min="12297" max="12543" width="11.42578125" style="34"/>
    <col min="12544" max="12544" width="14" style="34" customWidth="1"/>
    <col min="12545" max="12549" width="11.42578125" style="34"/>
    <col min="12550" max="12550" width="8.85546875" style="34" customWidth="1"/>
    <col min="12551" max="12551" width="11.42578125" style="34"/>
    <col min="12552" max="12552" width="11.140625" style="34" customWidth="1"/>
    <col min="12553" max="12799" width="11.42578125" style="34"/>
    <col min="12800" max="12800" width="14" style="34" customWidth="1"/>
    <col min="12801" max="12805" width="11.42578125" style="34"/>
    <col min="12806" max="12806" width="8.85546875" style="34" customWidth="1"/>
    <col min="12807" max="12807" width="11.42578125" style="34"/>
    <col min="12808" max="12808" width="11.140625" style="34" customWidth="1"/>
    <col min="12809" max="13055" width="11.42578125" style="34"/>
    <col min="13056" max="13056" width="14" style="34" customWidth="1"/>
    <col min="13057" max="13061" width="11.42578125" style="34"/>
    <col min="13062" max="13062" width="8.85546875" style="34" customWidth="1"/>
    <col min="13063" max="13063" width="11.42578125" style="34"/>
    <col min="13064" max="13064" width="11.140625" style="34" customWidth="1"/>
    <col min="13065" max="13311" width="11.42578125" style="34"/>
    <col min="13312" max="13312" width="14" style="34" customWidth="1"/>
    <col min="13313" max="13317" width="11.42578125" style="34"/>
    <col min="13318" max="13318" width="8.85546875" style="34" customWidth="1"/>
    <col min="13319" max="13319" width="11.42578125" style="34"/>
    <col min="13320" max="13320" width="11.140625" style="34" customWidth="1"/>
    <col min="13321" max="13567" width="11.42578125" style="34"/>
    <col min="13568" max="13568" width="14" style="34" customWidth="1"/>
    <col min="13569" max="13573" width="11.42578125" style="34"/>
    <col min="13574" max="13574" width="8.85546875" style="34" customWidth="1"/>
    <col min="13575" max="13575" width="11.42578125" style="34"/>
    <col min="13576" max="13576" width="11.140625" style="34" customWidth="1"/>
    <col min="13577" max="13823" width="11.42578125" style="34"/>
    <col min="13824" max="13824" width="14" style="34" customWidth="1"/>
    <col min="13825" max="13829" width="11.42578125" style="34"/>
    <col min="13830" max="13830" width="8.85546875" style="34" customWidth="1"/>
    <col min="13831" max="13831" width="11.42578125" style="34"/>
    <col min="13832" max="13832" width="11.140625" style="34" customWidth="1"/>
    <col min="13833" max="14079" width="11.42578125" style="34"/>
    <col min="14080" max="14080" width="14" style="34" customWidth="1"/>
    <col min="14081" max="14085" width="11.42578125" style="34"/>
    <col min="14086" max="14086" width="8.85546875" style="34" customWidth="1"/>
    <col min="14087" max="14087" width="11.42578125" style="34"/>
    <col min="14088" max="14088" width="11.140625" style="34" customWidth="1"/>
    <col min="14089" max="14335" width="11.42578125" style="34"/>
    <col min="14336" max="14336" width="14" style="34" customWidth="1"/>
    <col min="14337" max="14341" width="11.42578125" style="34"/>
    <col min="14342" max="14342" width="8.85546875" style="34" customWidth="1"/>
    <col min="14343" max="14343" width="11.42578125" style="34"/>
    <col min="14344" max="14344" width="11.140625" style="34" customWidth="1"/>
    <col min="14345" max="14591" width="11.42578125" style="34"/>
    <col min="14592" max="14592" width="14" style="34" customWidth="1"/>
    <col min="14593" max="14597" width="11.42578125" style="34"/>
    <col min="14598" max="14598" width="8.85546875" style="34" customWidth="1"/>
    <col min="14599" max="14599" width="11.42578125" style="34"/>
    <col min="14600" max="14600" width="11.140625" style="34" customWidth="1"/>
    <col min="14601" max="14847" width="11.42578125" style="34"/>
    <col min="14848" max="14848" width="14" style="34" customWidth="1"/>
    <col min="14849" max="14853" width="11.42578125" style="34"/>
    <col min="14854" max="14854" width="8.85546875" style="34" customWidth="1"/>
    <col min="14855" max="14855" width="11.42578125" style="34"/>
    <col min="14856" max="14856" width="11.140625" style="34" customWidth="1"/>
    <col min="14857" max="15103" width="11.42578125" style="34"/>
    <col min="15104" max="15104" width="14" style="34" customWidth="1"/>
    <col min="15105" max="15109" width="11.42578125" style="34"/>
    <col min="15110" max="15110" width="8.85546875" style="34" customWidth="1"/>
    <col min="15111" max="15111" width="11.42578125" style="34"/>
    <col min="15112" max="15112" width="11.140625" style="34" customWidth="1"/>
    <col min="15113" max="15359" width="11.42578125" style="34"/>
    <col min="15360" max="15360" width="14" style="34" customWidth="1"/>
    <col min="15361" max="15365" width="11.42578125" style="34"/>
    <col min="15366" max="15366" width="8.85546875" style="34" customWidth="1"/>
    <col min="15367" max="15367" width="11.42578125" style="34"/>
    <col min="15368" max="15368" width="11.140625" style="34" customWidth="1"/>
    <col min="15369" max="15615" width="11.42578125" style="34"/>
    <col min="15616" max="15616" width="14" style="34" customWidth="1"/>
    <col min="15617" max="15621" width="11.42578125" style="34"/>
    <col min="15622" max="15622" width="8.85546875" style="34" customWidth="1"/>
    <col min="15623" max="15623" width="11.42578125" style="34"/>
    <col min="15624" max="15624" width="11.140625" style="34" customWidth="1"/>
    <col min="15625" max="15871" width="11.42578125" style="34"/>
    <col min="15872" max="15872" width="14" style="34" customWidth="1"/>
    <col min="15873" max="15877" width="11.42578125" style="34"/>
    <col min="15878" max="15878" width="8.85546875" style="34" customWidth="1"/>
    <col min="15879" max="15879" width="11.42578125" style="34"/>
    <col min="15880" max="15880" width="11.140625" style="34" customWidth="1"/>
    <col min="15881" max="16127" width="11.42578125" style="34"/>
    <col min="16128" max="16128" width="14" style="34" customWidth="1"/>
    <col min="16129" max="16133" width="11.42578125" style="34"/>
    <col min="16134" max="16134" width="8.85546875" style="34" customWidth="1"/>
    <col min="16135" max="16135" width="11.42578125" style="34"/>
    <col min="16136" max="16136" width="11.140625" style="34" customWidth="1"/>
    <col min="16137" max="16384" width="11.42578125" style="34"/>
  </cols>
  <sheetData>
    <row r="1" spans="1:14" s="32" customFormat="1" ht="42.75" customHeight="1" x14ac:dyDescent="0.2">
      <c r="A1" s="32" t="s">
        <v>111</v>
      </c>
      <c r="C1" s="31" t="s">
        <v>60</v>
      </c>
      <c r="D1" s="40" t="s">
        <v>73</v>
      </c>
      <c r="E1" s="41" t="s">
        <v>126</v>
      </c>
      <c r="F1" s="41" t="s">
        <v>125</v>
      </c>
      <c r="G1" s="41" t="s">
        <v>173</v>
      </c>
      <c r="I1" s="31" t="s">
        <v>60</v>
      </c>
      <c r="J1" s="40" t="s">
        <v>72</v>
      </c>
      <c r="K1" s="41" t="s">
        <v>126</v>
      </c>
      <c r="L1" s="41" t="s">
        <v>125</v>
      </c>
      <c r="M1" s="262" t="s">
        <v>66</v>
      </c>
      <c r="N1" s="262"/>
    </row>
    <row r="2" spans="1:14" x14ac:dyDescent="0.2">
      <c r="A2" s="34" t="s">
        <v>109</v>
      </c>
      <c r="B2" s="35"/>
      <c r="C2" s="33">
        <v>1</v>
      </c>
      <c r="D2" s="42">
        <v>482300</v>
      </c>
      <c r="E2" s="194" t="s">
        <v>39</v>
      </c>
      <c r="F2" s="43" t="s">
        <v>229</v>
      </c>
      <c r="G2" s="199" t="s">
        <v>222</v>
      </c>
      <c r="H2" s="35"/>
      <c r="I2" s="33">
        <v>1</v>
      </c>
      <c r="J2" s="42">
        <v>694100</v>
      </c>
      <c r="K2" s="43" t="s">
        <v>49</v>
      </c>
      <c r="L2" s="43" t="s">
        <v>49</v>
      </c>
    </row>
    <row r="3" spans="1:14" x14ac:dyDescent="0.2">
      <c r="A3" s="34" t="s">
        <v>108</v>
      </c>
      <c r="B3" s="35"/>
      <c r="C3" s="33">
        <v>2</v>
      </c>
      <c r="D3" s="42">
        <v>482200</v>
      </c>
      <c r="E3" s="194" t="s">
        <v>228</v>
      </c>
      <c r="F3" s="43" t="s">
        <v>230</v>
      </c>
      <c r="G3" s="199" t="s">
        <v>222</v>
      </c>
      <c r="H3" s="35"/>
      <c r="I3" s="33">
        <v>2</v>
      </c>
      <c r="J3" s="42">
        <v>691410</v>
      </c>
      <c r="K3" s="43" t="s">
        <v>164</v>
      </c>
      <c r="L3" s="43" t="s">
        <v>164</v>
      </c>
    </row>
    <row r="4" spans="1:14" x14ac:dyDescent="0.2">
      <c r="B4" s="35"/>
      <c r="C4" s="33">
        <v>3</v>
      </c>
      <c r="D4" s="42">
        <v>474900</v>
      </c>
      <c r="E4" s="43" t="s">
        <v>38</v>
      </c>
      <c r="F4" s="43" t="s">
        <v>231</v>
      </c>
      <c r="G4" s="200">
        <v>0</v>
      </c>
      <c r="H4" s="35"/>
      <c r="I4" s="33">
        <v>3</v>
      </c>
      <c r="J4" s="42">
        <v>711500</v>
      </c>
      <c r="K4" s="43" t="s">
        <v>225</v>
      </c>
      <c r="L4" s="43" t="s">
        <v>225</v>
      </c>
    </row>
    <row r="5" spans="1:14" x14ac:dyDescent="0.2">
      <c r="B5" s="35"/>
      <c r="C5" s="33">
        <v>4</v>
      </c>
      <c r="D5" s="42">
        <v>401410</v>
      </c>
      <c r="E5" s="194" t="s">
        <v>196</v>
      </c>
      <c r="F5" s="194" t="s">
        <v>175</v>
      </c>
      <c r="G5" s="201">
        <v>0.19</v>
      </c>
      <c r="H5" s="35"/>
      <c r="I5" s="33">
        <v>4</v>
      </c>
      <c r="J5" s="42">
        <v>769100</v>
      </c>
      <c r="K5" s="43" t="s">
        <v>85</v>
      </c>
      <c r="L5" s="43" t="s">
        <v>85</v>
      </c>
    </row>
    <row r="6" spans="1:14" x14ac:dyDescent="0.2">
      <c r="B6" s="35"/>
      <c r="C6" s="33">
        <v>5</v>
      </c>
      <c r="D6" s="42">
        <v>401420</v>
      </c>
      <c r="E6" s="194" t="s">
        <v>197</v>
      </c>
      <c r="F6" s="194" t="s">
        <v>176</v>
      </c>
      <c r="G6" s="200">
        <v>7.0000000000000007E-2</v>
      </c>
      <c r="H6" s="35"/>
      <c r="I6" s="33">
        <v>5</v>
      </c>
      <c r="J6" s="42">
        <v>699910</v>
      </c>
      <c r="K6" s="43" t="s">
        <v>59</v>
      </c>
      <c r="L6" s="43" t="s">
        <v>59</v>
      </c>
    </row>
    <row r="7" spans="1:14" x14ac:dyDescent="0.2">
      <c r="B7" s="35"/>
      <c r="C7" s="33">
        <v>6</v>
      </c>
      <c r="D7" s="42">
        <v>401430</v>
      </c>
      <c r="E7" s="194" t="s">
        <v>198</v>
      </c>
      <c r="F7" s="194" t="s">
        <v>177</v>
      </c>
      <c r="G7" s="200">
        <v>0</v>
      </c>
      <c r="H7" s="35"/>
      <c r="I7" s="33">
        <v>6</v>
      </c>
      <c r="J7" s="42">
        <v>691200</v>
      </c>
      <c r="K7" s="43" t="s">
        <v>82</v>
      </c>
      <c r="L7" s="43" t="s">
        <v>82</v>
      </c>
    </row>
    <row r="8" spans="1:14" x14ac:dyDescent="0.2">
      <c r="B8" s="35"/>
      <c r="C8" s="33">
        <v>7</v>
      </c>
      <c r="D8" s="42">
        <v>401440</v>
      </c>
      <c r="E8" s="194" t="s">
        <v>199</v>
      </c>
      <c r="F8" s="194" t="s">
        <v>178</v>
      </c>
      <c r="G8" s="199" t="s">
        <v>222</v>
      </c>
      <c r="H8" s="35"/>
      <c r="I8" s="33">
        <v>7</v>
      </c>
      <c r="J8" s="42">
        <v>691700</v>
      </c>
      <c r="K8" s="43" t="s">
        <v>83</v>
      </c>
      <c r="L8" s="43" t="s">
        <v>83</v>
      </c>
    </row>
    <row r="9" spans="1:14" x14ac:dyDescent="0.2">
      <c r="B9" s="35"/>
      <c r="C9" s="33">
        <v>8</v>
      </c>
      <c r="D9" s="42">
        <v>401510</v>
      </c>
      <c r="E9" s="194" t="s">
        <v>200</v>
      </c>
      <c r="F9" s="194" t="s">
        <v>179</v>
      </c>
      <c r="G9" s="201">
        <v>0.19</v>
      </c>
      <c r="H9" s="35"/>
      <c r="I9" s="33">
        <v>8</v>
      </c>
      <c r="J9" s="42">
        <v>691100</v>
      </c>
      <c r="K9" s="43" t="s">
        <v>45</v>
      </c>
      <c r="L9" s="43" t="s">
        <v>45</v>
      </c>
    </row>
    <row r="10" spans="1:14" x14ac:dyDescent="0.2">
      <c r="B10" s="35"/>
      <c r="C10" s="33">
        <v>9</v>
      </c>
      <c r="D10" s="42">
        <v>401520</v>
      </c>
      <c r="E10" s="194" t="s">
        <v>201</v>
      </c>
      <c r="F10" s="194" t="s">
        <v>180</v>
      </c>
      <c r="G10" s="200">
        <v>7.0000000000000007E-2</v>
      </c>
      <c r="H10" s="35"/>
      <c r="I10" s="33">
        <v>9</v>
      </c>
      <c r="J10" s="42">
        <v>699930</v>
      </c>
      <c r="K10" s="43" t="s">
        <v>136</v>
      </c>
      <c r="L10" s="43" t="s">
        <v>136</v>
      </c>
    </row>
    <row r="11" spans="1:14" x14ac:dyDescent="0.2">
      <c r="B11" s="35"/>
      <c r="C11" s="33">
        <v>10</v>
      </c>
      <c r="D11" s="42">
        <v>401530</v>
      </c>
      <c r="E11" s="194" t="s">
        <v>202</v>
      </c>
      <c r="F11" s="194" t="s">
        <v>181</v>
      </c>
      <c r="G11" s="200">
        <v>0</v>
      </c>
      <c r="H11" s="35"/>
      <c r="I11" s="33">
        <v>10</v>
      </c>
      <c r="J11" s="42">
        <v>699920</v>
      </c>
      <c r="K11" s="43" t="s">
        <v>135</v>
      </c>
      <c r="L11" s="43" t="s">
        <v>135</v>
      </c>
    </row>
    <row r="12" spans="1:14" x14ac:dyDescent="0.2">
      <c r="B12" s="35"/>
      <c r="C12" s="33">
        <v>11</v>
      </c>
      <c r="D12" s="42">
        <v>401540</v>
      </c>
      <c r="E12" s="194" t="s">
        <v>203</v>
      </c>
      <c r="F12" s="194" t="s">
        <v>182</v>
      </c>
      <c r="G12" s="199" t="s">
        <v>222</v>
      </c>
      <c r="H12" s="35"/>
      <c r="I12" s="33">
        <v>11</v>
      </c>
      <c r="J12" s="42">
        <v>688200</v>
      </c>
      <c r="K12" s="43" t="s">
        <v>44</v>
      </c>
      <c r="L12" s="43" t="s">
        <v>44</v>
      </c>
    </row>
    <row r="13" spans="1:14" x14ac:dyDescent="0.2">
      <c r="B13" s="35"/>
      <c r="C13" s="33">
        <v>12</v>
      </c>
      <c r="D13" s="42">
        <v>403110</v>
      </c>
      <c r="E13" s="194" t="s">
        <v>226</v>
      </c>
      <c r="F13" s="194" t="s">
        <v>232</v>
      </c>
      <c r="G13" s="200">
        <v>0.19</v>
      </c>
      <c r="H13" s="35"/>
      <c r="I13" s="33">
        <v>12</v>
      </c>
      <c r="J13" s="42">
        <v>712100</v>
      </c>
      <c r="K13" s="43" t="s">
        <v>55</v>
      </c>
      <c r="L13" s="43" t="s">
        <v>137</v>
      </c>
    </row>
    <row r="14" spans="1:14" x14ac:dyDescent="0.2">
      <c r="B14" s="35"/>
      <c r="C14" s="33">
        <v>13</v>
      </c>
      <c r="D14" s="42">
        <v>403220</v>
      </c>
      <c r="E14" s="194" t="s">
        <v>227</v>
      </c>
      <c r="F14" s="194" t="s">
        <v>233</v>
      </c>
      <c r="G14" s="200">
        <v>7.0000000000000007E-2</v>
      </c>
      <c r="H14" s="35"/>
      <c r="I14" s="33">
        <v>13</v>
      </c>
      <c r="J14" s="42">
        <v>715100</v>
      </c>
      <c r="K14" s="43" t="s">
        <v>84</v>
      </c>
      <c r="L14" s="43" t="s">
        <v>84</v>
      </c>
    </row>
    <row r="15" spans="1:14" x14ac:dyDescent="0.2">
      <c r="B15" s="35"/>
      <c r="C15" s="33">
        <v>14</v>
      </c>
      <c r="D15" s="42">
        <v>403330</v>
      </c>
      <c r="E15" s="194" t="s">
        <v>205</v>
      </c>
      <c r="F15" s="194" t="s">
        <v>183</v>
      </c>
      <c r="G15" s="200">
        <v>0</v>
      </c>
      <c r="H15" s="35"/>
      <c r="I15" s="33">
        <v>14</v>
      </c>
      <c r="J15" s="42">
        <v>712200</v>
      </c>
      <c r="K15" s="43" t="s">
        <v>56</v>
      </c>
      <c r="L15" s="43" t="s">
        <v>56</v>
      </c>
    </row>
    <row r="16" spans="1:14" x14ac:dyDescent="0.2">
      <c r="B16" s="35"/>
      <c r="C16" s="33">
        <v>15</v>
      </c>
      <c r="D16" s="42">
        <v>403340</v>
      </c>
      <c r="E16" s="194" t="s">
        <v>206</v>
      </c>
      <c r="F16" s="194" t="s">
        <v>184</v>
      </c>
      <c r="G16" s="199" t="s">
        <v>222</v>
      </c>
      <c r="H16" s="35"/>
      <c r="I16" s="33">
        <v>15</v>
      </c>
      <c r="J16" s="42">
        <v>714000</v>
      </c>
      <c r="K16" s="43" t="s">
        <v>57</v>
      </c>
      <c r="L16" s="43" t="s">
        <v>57</v>
      </c>
    </row>
    <row r="17" spans="2:12" x14ac:dyDescent="0.2">
      <c r="B17" s="35"/>
      <c r="C17" s="33">
        <v>16</v>
      </c>
      <c r="D17" s="42">
        <v>415510</v>
      </c>
      <c r="E17" s="194" t="s">
        <v>207</v>
      </c>
      <c r="F17" s="194" t="s">
        <v>185</v>
      </c>
      <c r="G17" s="201">
        <v>0.19</v>
      </c>
      <c r="H17" s="35"/>
      <c r="I17" s="33">
        <v>16</v>
      </c>
      <c r="J17" s="42">
        <v>688100</v>
      </c>
      <c r="K17" s="43" t="s">
        <v>43</v>
      </c>
      <c r="L17" s="43" t="s">
        <v>43</v>
      </c>
    </row>
    <row r="18" spans="2:12" x14ac:dyDescent="0.2">
      <c r="B18" s="35"/>
      <c r="C18" s="33">
        <v>17</v>
      </c>
      <c r="D18" s="42">
        <v>415520</v>
      </c>
      <c r="E18" s="194" t="s">
        <v>208</v>
      </c>
      <c r="F18" s="194" t="s">
        <v>186</v>
      </c>
      <c r="G18" s="200">
        <v>7.0000000000000007E-2</v>
      </c>
      <c r="H18" s="35"/>
      <c r="I18" s="33">
        <v>17</v>
      </c>
      <c r="J18" s="42">
        <v>695100</v>
      </c>
      <c r="K18" s="43" t="s">
        <v>50</v>
      </c>
      <c r="L18" s="43" t="s">
        <v>50</v>
      </c>
    </row>
    <row r="19" spans="2:12" x14ac:dyDescent="0.2">
      <c r="B19" s="35"/>
      <c r="C19" s="33">
        <v>18</v>
      </c>
      <c r="D19" s="42">
        <v>415530</v>
      </c>
      <c r="E19" s="194" t="s">
        <v>209</v>
      </c>
      <c r="F19" s="194" t="s">
        <v>187</v>
      </c>
      <c r="G19" s="200">
        <v>0</v>
      </c>
      <c r="H19" s="35"/>
      <c r="I19" s="33">
        <v>18</v>
      </c>
      <c r="J19" s="42">
        <v>699300</v>
      </c>
      <c r="K19" s="43" t="s">
        <v>93</v>
      </c>
      <c r="L19" s="43" t="s">
        <v>93</v>
      </c>
    </row>
    <row r="20" spans="2:12" x14ac:dyDescent="0.2">
      <c r="B20" s="35"/>
      <c r="C20" s="33">
        <v>19</v>
      </c>
      <c r="D20" s="42">
        <v>531910</v>
      </c>
      <c r="E20" s="194" t="s">
        <v>210</v>
      </c>
      <c r="F20" s="194" t="s">
        <v>188</v>
      </c>
      <c r="G20" s="200">
        <v>0.19</v>
      </c>
      <c r="H20" s="35"/>
      <c r="I20" s="33">
        <v>19</v>
      </c>
      <c r="J20" s="42">
        <v>691300</v>
      </c>
      <c r="K20" s="43" t="s">
        <v>46</v>
      </c>
      <c r="L20" s="43" t="s">
        <v>46</v>
      </c>
    </row>
    <row r="21" spans="2:12" x14ac:dyDescent="0.2">
      <c r="B21" s="35"/>
      <c r="C21" s="33">
        <v>20</v>
      </c>
      <c r="D21" s="42">
        <v>531920</v>
      </c>
      <c r="E21" s="194" t="s">
        <v>211</v>
      </c>
      <c r="F21" s="194" t="s">
        <v>189</v>
      </c>
      <c r="G21" s="200">
        <v>7.0000000000000007E-2</v>
      </c>
      <c r="H21" s="35"/>
      <c r="I21" s="33">
        <v>20</v>
      </c>
      <c r="J21" s="42">
        <v>693000</v>
      </c>
      <c r="K21" s="43" t="s">
        <v>48</v>
      </c>
      <c r="L21" s="43" t="s">
        <v>48</v>
      </c>
    </row>
    <row r="22" spans="2:12" x14ac:dyDescent="0.2">
      <c r="B22" s="35"/>
      <c r="C22" s="33">
        <v>21</v>
      </c>
      <c r="D22" s="42">
        <v>531930</v>
      </c>
      <c r="E22" s="194" t="s">
        <v>212</v>
      </c>
      <c r="F22" s="194" t="s">
        <v>190</v>
      </c>
      <c r="G22" s="200">
        <v>0</v>
      </c>
      <c r="H22" s="35"/>
      <c r="I22" s="33">
        <v>21</v>
      </c>
      <c r="J22" s="42">
        <v>695900</v>
      </c>
      <c r="K22" s="43" t="s">
        <v>52</v>
      </c>
      <c r="L22" s="43" t="s">
        <v>138</v>
      </c>
    </row>
    <row r="23" spans="2:12" x14ac:dyDescent="0.2">
      <c r="B23" s="35"/>
      <c r="C23" s="33">
        <v>22</v>
      </c>
      <c r="D23" s="42">
        <v>531940</v>
      </c>
      <c r="E23" s="194" t="s">
        <v>213</v>
      </c>
      <c r="F23" s="194" t="s">
        <v>191</v>
      </c>
      <c r="G23" s="199" t="s">
        <v>222</v>
      </c>
      <c r="H23" s="35"/>
      <c r="I23" s="33">
        <v>22</v>
      </c>
      <c r="J23" s="42">
        <v>763000</v>
      </c>
      <c r="K23" s="43" t="s">
        <v>58</v>
      </c>
      <c r="L23" s="43" t="s">
        <v>58</v>
      </c>
    </row>
    <row r="24" spans="2:12" x14ac:dyDescent="0.2">
      <c r="B24" s="35"/>
      <c r="C24" s="33">
        <v>23</v>
      </c>
      <c r="D24" s="42">
        <v>539910</v>
      </c>
      <c r="E24" s="194" t="s">
        <v>214</v>
      </c>
      <c r="F24" s="194" t="s">
        <v>192</v>
      </c>
      <c r="G24" s="201">
        <v>0.19</v>
      </c>
      <c r="H24" s="35"/>
      <c r="I24" s="33">
        <v>23</v>
      </c>
      <c r="J24" s="42">
        <v>699990</v>
      </c>
      <c r="K24" s="43" t="s">
        <v>54</v>
      </c>
      <c r="L24" s="43" t="s">
        <v>139</v>
      </c>
    </row>
    <row r="25" spans="2:12" x14ac:dyDescent="0.2">
      <c r="B25" s="35"/>
      <c r="C25" s="33">
        <v>24</v>
      </c>
      <c r="D25" s="42">
        <v>539920</v>
      </c>
      <c r="E25" s="194" t="s">
        <v>215</v>
      </c>
      <c r="F25" s="194" t="s">
        <v>193</v>
      </c>
      <c r="G25" s="200">
        <v>7.0000000000000007E-2</v>
      </c>
      <c r="H25" s="35"/>
      <c r="I25" s="33">
        <v>24</v>
      </c>
      <c r="J25" s="42">
        <v>679100</v>
      </c>
      <c r="K25" s="43" t="s">
        <v>41</v>
      </c>
      <c r="L25" s="43" t="s">
        <v>41</v>
      </c>
    </row>
    <row r="26" spans="2:12" x14ac:dyDescent="0.2">
      <c r="B26" s="35"/>
      <c r="C26" s="33">
        <v>25</v>
      </c>
      <c r="D26" s="42">
        <v>539930</v>
      </c>
      <c r="E26" s="194" t="s">
        <v>216</v>
      </c>
      <c r="F26" s="194" t="s">
        <v>194</v>
      </c>
      <c r="G26" s="200">
        <v>0</v>
      </c>
      <c r="H26" s="35"/>
      <c r="I26" s="33">
        <v>25</v>
      </c>
      <c r="J26" s="42">
        <v>691800</v>
      </c>
      <c r="K26" s="43" t="s">
        <v>47</v>
      </c>
      <c r="L26" s="43" t="s">
        <v>47</v>
      </c>
    </row>
    <row r="27" spans="2:12" x14ac:dyDescent="0.2">
      <c r="B27" s="35"/>
      <c r="C27" s="33">
        <v>26</v>
      </c>
      <c r="D27" s="42">
        <v>539940</v>
      </c>
      <c r="E27" s="194" t="s">
        <v>204</v>
      </c>
      <c r="F27" s="194" t="s">
        <v>195</v>
      </c>
      <c r="G27" s="199" t="s">
        <v>222</v>
      </c>
      <c r="H27" s="35"/>
      <c r="I27" s="33">
        <v>26</v>
      </c>
      <c r="J27" s="42">
        <v>639000</v>
      </c>
      <c r="K27" s="43" t="s">
        <v>40</v>
      </c>
      <c r="L27" s="43" t="s">
        <v>40</v>
      </c>
    </row>
    <row r="28" spans="2:12" x14ac:dyDescent="0.2">
      <c r="B28" s="35"/>
      <c r="C28" s="33">
        <v>27</v>
      </c>
      <c r="D28" s="193">
        <v>426110</v>
      </c>
      <c r="E28" s="34" t="s">
        <v>217</v>
      </c>
      <c r="F28" s="34" t="s">
        <v>234</v>
      </c>
      <c r="G28" s="201">
        <v>0.19</v>
      </c>
      <c r="H28" s="35"/>
      <c r="I28" s="33">
        <v>27</v>
      </c>
      <c r="J28" s="42">
        <v>695200</v>
      </c>
      <c r="K28" s="43" t="s">
        <v>51</v>
      </c>
      <c r="L28" s="43" t="s">
        <v>51</v>
      </c>
    </row>
    <row r="29" spans="2:12" x14ac:dyDescent="0.2">
      <c r="B29" s="35"/>
      <c r="C29" s="33">
        <v>28</v>
      </c>
      <c r="D29" s="193">
        <v>426130</v>
      </c>
      <c r="E29" s="34" t="s">
        <v>218</v>
      </c>
      <c r="F29" s="34" t="s">
        <v>235</v>
      </c>
      <c r="G29" s="200">
        <v>0</v>
      </c>
      <c r="H29" s="35"/>
      <c r="I29" s="33">
        <v>28</v>
      </c>
      <c r="J29" s="42">
        <v>699600</v>
      </c>
      <c r="K29" s="43" t="s">
        <v>53</v>
      </c>
      <c r="L29" s="43" t="s">
        <v>53</v>
      </c>
    </row>
    <row r="30" spans="2:12" x14ac:dyDescent="0.2">
      <c r="B30" s="35"/>
      <c r="C30" s="33">
        <v>29</v>
      </c>
      <c r="D30" s="193">
        <v>426140</v>
      </c>
      <c r="E30" s="34" t="s">
        <v>219</v>
      </c>
      <c r="F30" s="34" t="s">
        <v>236</v>
      </c>
      <c r="G30" s="199" t="s">
        <v>222</v>
      </c>
      <c r="H30" s="35"/>
      <c r="I30" s="33">
        <v>29</v>
      </c>
      <c r="J30" s="42">
        <v>681000</v>
      </c>
      <c r="K30" s="43" t="s">
        <v>42</v>
      </c>
      <c r="L30" s="43" t="s">
        <v>140</v>
      </c>
    </row>
    <row r="31" spans="2:12" x14ac:dyDescent="0.2">
      <c r="B31" s="35"/>
      <c r="C31" s="33">
        <v>30</v>
      </c>
      <c r="D31" s="193">
        <v>361100</v>
      </c>
      <c r="E31" s="34" t="s">
        <v>243</v>
      </c>
      <c r="F31" s="34" t="s">
        <v>242</v>
      </c>
      <c r="G31" s="34" t="s">
        <v>222</v>
      </c>
      <c r="H31" s="35"/>
      <c r="I31" s="33">
        <v>30</v>
      </c>
      <c r="J31" s="42">
        <v>682000</v>
      </c>
      <c r="K31" s="43" t="s">
        <v>165</v>
      </c>
      <c r="L31" s="43" t="s">
        <v>165</v>
      </c>
    </row>
    <row r="32" spans="2:12" x14ac:dyDescent="0.2">
      <c r="B32" s="35"/>
      <c r="C32" s="33">
        <v>31</v>
      </c>
      <c r="D32" s="193"/>
      <c r="H32" s="35"/>
      <c r="I32" s="33">
        <v>31</v>
      </c>
      <c r="J32" s="42"/>
      <c r="K32" s="35"/>
      <c r="L32" s="35"/>
    </row>
    <row r="33" spans="2:13" x14ac:dyDescent="0.2">
      <c r="B33" s="35"/>
      <c r="C33" s="33">
        <v>32</v>
      </c>
      <c r="D33" s="193"/>
      <c r="H33" s="35"/>
      <c r="I33" s="33">
        <v>32</v>
      </c>
      <c r="J33" s="42"/>
      <c r="K33" s="35"/>
      <c r="L33" s="35"/>
    </row>
    <row r="34" spans="2:13" x14ac:dyDescent="0.2">
      <c r="B34" s="35"/>
      <c r="C34" s="33">
        <v>33</v>
      </c>
      <c r="H34" s="35"/>
      <c r="I34" s="33">
        <v>33</v>
      </c>
      <c r="J34" s="42"/>
      <c r="K34" s="35"/>
      <c r="L34" s="35"/>
      <c r="M34" s="35"/>
    </row>
    <row r="35" spans="2:13" x14ac:dyDescent="0.2">
      <c r="B35" s="35"/>
      <c r="C35" s="33">
        <v>34</v>
      </c>
      <c r="D35" s="36"/>
      <c r="E35" s="35"/>
      <c r="F35" s="35"/>
      <c r="G35" s="35"/>
      <c r="H35" s="35"/>
      <c r="I35" s="33">
        <v>34</v>
      </c>
      <c r="J35" s="42"/>
      <c r="K35" s="35"/>
      <c r="L35" s="35"/>
      <c r="M35" s="35"/>
    </row>
    <row r="36" spans="2:13" x14ac:dyDescent="0.2">
      <c r="B36" s="35"/>
      <c r="C36" s="33">
        <v>35</v>
      </c>
      <c r="D36" s="36"/>
      <c r="E36" s="35"/>
      <c r="F36" s="35"/>
      <c r="G36" s="35"/>
      <c r="H36" s="35"/>
      <c r="I36" s="33">
        <v>35</v>
      </c>
      <c r="J36" s="36"/>
      <c r="K36" s="35"/>
      <c r="L36" s="35"/>
      <c r="M36" s="35"/>
    </row>
    <row r="37" spans="2:13" x14ac:dyDescent="0.2">
      <c r="B37" s="35"/>
      <c r="C37" s="33">
        <v>36</v>
      </c>
      <c r="D37" s="36"/>
      <c r="E37" s="35"/>
      <c r="F37" s="35"/>
      <c r="G37" s="35"/>
      <c r="H37" s="35"/>
      <c r="I37" s="33">
        <v>36</v>
      </c>
      <c r="J37" s="36"/>
      <c r="K37" s="35"/>
      <c r="L37" s="35"/>
      <c r="M37" s="35"/>
    </row>
    <row r="38" spans="2:13" x14ac:dyDescent="0.2">
      <c r="B38" s="35"/>
      <c r="C38" s="33">
        <v>37</v>
      </c>
      <c r="D38" s="36"/>
      <c r="E38" s="35"/>
      <c r="F38" s="35"/>
      <c r="G38" s="35"/>
      <c r="H38" s="35"/>
      <c r="I38" s="33">
        <v>37</v>
      </c>
      <c r="J38" s="36"/>
      <c r="K38" s="35"/>
      <c r="L38" s="35"/>
      <c r="M38" s="35"/>
    </row>
    <row r="39" spans="2:13" x14ac:dyDescent="0.2">
      <c r="B39" s="35"/>
      <c r="C39" s="33">
        <v>38</v>
      </c>
      <c r="D39" s="36"/>
      <c r="E39" s="35"/>
      <c r="F39" s="35"/>
      <c r="G39" s="35"/>
      <c r="H39" s="35"/>
      <c r="I39" s="33">
        <v>38</v>
      </c>
      <c r="J39" s="36"/>
      <c r="K39" s="35"/>
      <c r="L39" s="35"/>
      <c r="M39" s="35"/>
    </row>
    <row r="40" spans="2:13" x14ac:dyDescent="0.2">
      <c r="B40" s="35"/>
      <c r="C40" s="33">
        <v>39</v>
      </c>
      <c r="D40" s="36"/>
      <c r="E40" s="35"/>
      <c r="F40" s="35"/>
      <c r="G40" s="35"/>
      <c r="H40" s="35"/>
      <c r="I40" s="33">
        <v>39</v>
      </c>
      <c r="J40" s="36"/>
      <c r="K40" s="35"/>
      <c r="L40" s="35"/>
      <c r="M40" s="35"/>
    </row>
    <row r="41" spans="2:13" x14ac:dyDescent="0.2">
      <c r="B41" s="35"/>
      <c r="C41" s="33">
        <v>40</v>
      </c>
      <c r="D41" s="36"/>
      <c r="E41" s="35"/>
      <c r="F41" s="35"/>
      <c r="G41" s="35"/>
      <c r="H41" s="35"/>
      <c r="I41" s="33">
        <v>40</v>
      </c>
      <c r="J41" s="36"/>
      <c r="K41" s="35"/>
      <c r="L41" s="35"/>
      <c r="M41" s="35"/>
    </row>
    <row r="42" spans="2:13" x14ac:dyDescent="0.2">
      <c r="B42" s="35"/>
      <c r="C42" s="33">
        <v>41</v>
      </c>
      <c r="D42" s="36"/>
      <c r="E42" s="35"/>
      <c r="F42" s="35"/>
      <c r="G42" s="35"/>
      <c r="H42" s="35"/>
      <c r="I42" s="33">
        <v>41</v>
      </c>
      <c r="J42" s="36"/>
      <c r="K42" s="35"/>
      <c r="L42" s="35"/>
      <c r="M42" s="35"/>
    </row>
    <row r="43" spans="2:13" x14ac:dyDescent="0.2">
      <c r="B43" s="35"/>
      <c r="C43" s="33">
        <v>42</v>
      </c>
      <c r="D43" s="36"/>
      <c r="E43" s="35"/>
      <c r="F43" s="35"/>
      <c r="G43" s="35"/>
      <c r="H43" s="35"/>
      <c r="I43" s="33">
        <v>42</v>
      </c>
      <c r="J43" s="36"/>
      <c r="K43" s="35"/>
      <c r="L43" s="35"/>
      <c r="M43" s="35"/>
    </row>
    <row r="44" spans="2:13" x14ac:dyDescent="0.2">
      <c r="B44" s="35"/>
      <c r="C44" s="33">
        <v>43</v>
      </c>
      <c r="D44" s="36"/>
      <c r="E44" s="35"/>
      <c r="F44" s="35"/>
      <c r="G44" s="35"/>
      <c r="H44" s="35"/>
      <c r="I44" s="33">
        <v>43</v>
      </c>
      <c r="J44" s="36"/>
      <c r="K44" s="35"/>
      <c r="L44" s="35"/>
      <c r="M44" s="35"/>
    </row>
    <row r="45" spans="2:13" x14ac:dyDescent="0.2">
      <c r="C45" s="33">
        <v>44</v>
      </c>
      <c r="D45" s="36"/>
      <c r="E45" s="35"/>
      <c r="F45" s="35"/>
      <c r="G45" s="35"/>
      <c r="I45" s="33">
        <v>44</v>
      </c>
      <c r="J45" s="36"/>
      <c r="K45" s="35"/>
      <c r="L45" s="35"/>
      <c r="M45" s="35"/>
    </row>
    <row r="46" spans="2:13" x14ac:dyDescent="0.2">
      <c r="C46" s="33">
        <v>45</v>
      </c>
      <c r="D46" s="36"/>
      <c r="I46" s="33">
        <v>45</v>
      </c>
      <c r="J46" s="36"/>
      <c r="M46" s="35"/>
    </row>
    <row r="47" spans="2:13" x14ac:dyDescent="0.2">
      <c r="C47" s="33">
        <v>46</v>
      </c>
      <c r="D47" s="36"/>
      <c r="I47" s="33">
        <v>46</v>
      </c>
      <c r="J47" s="36"/>
    </row>
    <row r="48" spans="2:13" x14ac:dyDescent="0.2">
      <c r="C48" s="33">
        <v>47</v>
      </c>
      <c r="D48" s="36"/>
      <c r="I48" s="33">
        <v>47</v>
      </c>
      <c r="J48" s="36"/>
    </row>
    <row r="49" spans="1:10" x14ac:dyDescent="0.2">
      <c r="C49" s="33">
        <v>48</v>
      </c>
      <c r="D49" s="36"/>
      <c r="I49" s="33">
        <v>48</v>
      </c>
      <c r="J49" s="36"/>
    </row>
    <row r="50" spans="1:10" x14ac:dyDescent="0.2">
      <c r="C50" s="33">
        <v>49</v>
      </c>
      <c r="D50" s="36"/>
      <c r="I50" s="33">
        <v>49</v>
      </c>
      <c r="J50" s="36"/>
    </row>
    <row r="51" spans="1:10" x14ac:dyDescent="0.2">
      <c r="C51" s="33">
        <v>50</v>
      </c>
      <c r="D51" s="36"/>
      <c r="I51" s="33">
        <v>50</v>
      </c>
      <c r="J51" s="36"/>
    </row>
    <row r="52" spans="1:10" x14ac:dyDescent="0.2">
      <c r="D52" s="36"/>
      <c r="J52" s="36"/>
    </row>
    <row r="61" spans="1:10" x14ac:dyDescent="0.2">
      <c r="A61" s="34" t="s">
        <v>169</v>
      </c>
    </row>
    <row r="62" spans="1:10" x14ac:dyDescent="0.2">
      <c r="A62" s="34" t="s">
        <v>170</v>
      </c>
    </row>
    <row r="64" spans="1:10" x14ac:dyDescent="0.2">
      <c r="B64" s="34">
        <v>1</v>
      </c>
    </row>
    <row r="65" spans="2:3" x14ac:dyDescent="0.2">
      <c r="B65" s="34">
        <v>2</v>
      </c>
      <c r="C65" s="34" t="s">
        <v>108</v>
      </c>
    </row>
    <row r="66" spans="2:3" x14ac:dyDescent="0.2">
      <c r="B66" s="34">
        <v>3</v>
      </c>
      <c r="C66" s="204">
        <v>0.19</v>
      </c>
    </row>
    <row r="67" spans="2:3" x14ac:dyDescent="0.2">
      <c r="B67" s="34">
        <v>4</v>
      </c>
      <c r="C67" s="204">
        <v>0.16</v>
      </c>
    </row>
    <row r="68" spans="2:3" x14ac:dyDescent="0.2">
      <c r="B68" s="34">
        <v>5</v>
      </c>
      <c r="C68" s="204">
        <v>7.0000000000000007E-2</v>
      </c>
    </row>
    <row r="69" spans="2:3" x14ac:dyDescent="0.2">
      <c r="B69" s="34">
        <v>6</v>
      </c>
      <c r="C69" s="204">
        <v>0</v>
      </c>
    </row>
    <row r="70" spans="2:3" x14ac:dyDescent="0.2">
      <c r="C70" s="34" t="s">
        <v>223</v>
      </c>
    </row>
  </sheetData>
  <sheetProtection algorithmName="SHA-512" hashValue="6wGRtkArTuBtNfZtIiws58xpomGSBqi0gdYwbuX/YxhAf1F6aZPOQfZNsFn5nU8ZcXa5Nx3uLmU5D00DKS+Dmg==" saltValue="+GgPc430jJJC1GMM2svsjw==" spinCount="100000" sheet="1" objects="1" scenarios="1" selectLockedCells="1" selectUnlockedCells="1"/>
  <sortState ref="J2:L31">
    <sortCondition ref="K2:K31"/>
  </sortState>
  <mergeCells count="1">
    <mergeCell ref="M1:N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tabColor theme="7" tint="-0.249977111117893"/>
    <pageSetUpPr fitToPage="1"/>
  </sheetPr>
  <dimension ref="A1:AE69"/>
  <sheetViews>
    <sheetView showGridLines="0" tabSelected="1" topLeftCell="C1" zoomScaleNormal="100" workbookViewId="0">
      <selection activeCell="M2" sqref="M2:M4"/>
    </sheetView>
  </sheetViews>
  <sheetFormatPr baseColWidth="10" defaultColWidth="11.42578125" defaultRowHeight="12.75" x14ac:dyDescent="0.2"/>
  <cols>
    <col min="1" max="1" width="18.140625" style="46" hidden="1" customWidth="1"/>
    <col min="2" max="2" width="5.140625" style="46" hidden="1" customWidth="1"/>
    <col min="3" max="3" width="5.140625" style="46" customWidth="1"/>
    <col min="4" max="4" width="8.7109375" style="46" customWidth="1"/>
    <col min="5" max="5" width="1.28515625" style="46" customWidth="1"/>
    <col min="6" max="6" width="38.5703125" style="46" customWidth="1"/>
    <col min="7" max="7" width="13.28515625" style="46" customWidth="1"/>
    <col min="8" max="8" width="9" style="46" customWidth="1"/>
    <col min="9" max="9" width="10.140625" style="46" customWidth="1"/>
    <col min="10" max="10" width="11.42578125" style="46"/>
    <col min="11" max="11" width="12.28515625" style="46" customWidth="1"/>
    <col min="12" max="12" width="2.140625" style="46" customWidth="1"/>
    <col min="13" max="13" width="11.5703125" style="147" customWidth="1"/>
    <col min="14" max="14" width="2.140625" style="46" customWidth="1"/>
    <col min="15" max="16" width="14.42578125" style="46" customWidth="1"/>
    <col min="17" max="17" width="14.140625" style="46" hidden="1" customWidth="1"/>
    <col min="18" max="18" width="11.5703125" style="147" hidden="1" customWidth="1"/>
    <col min="19" max="19" width="6.85546875" style="147" hidden="1" customWidth="1"/>
    <col min="20" max="20" width="16.140625" style="45" hidden="1" customWidth="1"/>
    <col min="21" max="21" width="9" style="45" hidden="1" customWidth="1"/>
    <col min="22" max="23" width="11.42578125" style="45" hidden="1" customWidth="1"/>
    <col min="24" max="24" width="2.7109375" style="46" hidden="1" customWidth="1"/>
    <col min="25" max="25" width="20.7109375" style="46" hidden="1" customWidth="1"/>
    <col min="26" max="29" width="11.42578125" style="46" hidden="1" customWidth="1"/>
    <col min="30" max="30" width="12.85546875" style="46" customWidth="1"/>
    <col min="31" max="31" width="20.5703125" style="46" bestFit="1" customWidth="1"/>
    <col min="32" max="32" width="12" style="46" bestFit="1" customWidth="1"/>
    <col min="33" max="16384" width="11.42578125" style="46"/>
  </cols>
  <sheetData>
    <row r="1" spans="3:30" x14ac:dyDescent="0.2">
      <c r="C1" s="44"/>
      <c r="D1" s="44"/>
      <c r="E1" s="44"/>
      <c r="F1" s="44"/>
      <c r="G1" s="44"/>
      <c r="H1" s="44"/>
      <c r="I1" s="44"/>
      <c r="J1" s="44"/>
      <c r="K1" s="44"/>
      <c r="L1" s="44"/>
      <c r="M1" s="141"/>
      <c r="N1" s="44"/>
      <c r="O1" s="44"/>
      <c r="P1" s="44"/>
      <c r="Q1" s="44"/>
      <c r="R1" s="141"/>
      <c r="S1" s="141"/>
      <c r="T1" s="60"/>
    </row>
    <row r="2" spans="3:30" s="48" customFormat="1" ht="12.75" customHeight="1" x14ac:dyDescent="0.2">
      <c r="C2" s="47"/>
      <c r="D2" s="47"/>
      <c r="E2" s="47"/>
      <c r="F2" s="268" t="s">
        <v>9</v>
      </c>
      <c r="G2" s="47"/>
      <c r="J2" s="270" t="str">
        <f>IF($M$2="","","RT "&amp;VLOOKUP($M$2,RT!$A:$K,4,FALSE))</f>
        <v/>
      </c>
      <c r="K2" s="270"/>
      <c r="L2" s="47"/>
      <c r="M2" s="272"/>
      <c r="N2" s="47"/>
      <c r="O2" s="267" t="s">
        <v>10</v>
      </c>
      <c r="P2" s="267"/>
      <c r="Q2" s="148"/>
      <c r="R2" s="142"/>
      <c r="S2" s="142"/>
      <c r="T2" s="49"/>
      <c r="U2" s="49"/>
      <c r="V2" s="49"/>
      <c r="W2" s="49"/>
    </row>
    <row r="3" spans="3:30" s="48" customFormat="1" ht="12.75" customHeight="1" x14ac:dyDescent="0.2">
      <c r="C3" s="47"/>
      <c r="D3" s="47"/>
      <c r="E3" s="47"/>
      <c r="F3" s="268"/>
      <c r="G3" s="47"/>
      <c r="H3" s="47"/>
      <c r="I3" s="47"/>
      <c r="J3" s="270"/>
      <c r="K3" s="270"/>
      <c r="L3" s="47"/>
      <c r="M3" s="272"/>
      <c r="N3" s="47"/>
      <c r="O3" s="267"/>
      <c r="P3" s="267"/>
      <c r="Q3" s="148"/>
      <c r="R3" s="142"/>
      <c r="S3" s="142"/>
      <c r="T3" s="49"/>
      <c r="U3" s="49"/>
      <c r="V3" s="49"/>
      <c r="W3" s="49"/>
    </row>
    <row r="4" spans="3:30" s="48" customFormat="1" ht="12.75" customHeight="1" x14ac:dyDescent="0.2">
      <c r="C4" s="47"/>
      <c r="D4" s="47"/>
      <c r="E4" s="47"/>
      <c r="F4" s="268"/>
      <c r="G4" s="47"/>
      <c r="H4" s="47"/>
      <c r="I4" s="47"/>
      <c r="J4" s="270"/>
      <c r="K4" s="270"/>
      <c r="L4" s="47"/>
      <c r="M4" s="272"/>
      <c r="N4" s="47"/>
      <c r="O4" s="267"/>
      <c r="P4" s="267"/>
      <c r="Q4" s="148"/>
      <c r="R4" s="142"/>
      <c r="S4" s="142"/>
      <c r="T4" s="49"/>
      <c r="U4" s="49"/>
      <c r="V4" s="49"/>
      <c r="W4" s="49"/>
    </row>
    <row r="5" spans="3:30" s="48" customFormat="1" ht="21.75" customHeight="1" x14ac:dyDescent="0.2">
      <c r="C5" s="47"/>
      <c r="D5" s="47"/>
      <c r="E5" s="47"/>
      <c r="F5" s="271" t="str">
        <f>IF($M$2="","",VLOOKUP($M$2,RT!$A:$K,2,FALSE))</f>
        <v/>
      </c>
      <c r="G5" s="271"/>
      <c r="H5" s="271"/>
      <c r="I5" s="271"/>
      <c r="J5" s="271"/>
      <c r="K5" s="271"/>
      <c r="L5" s="47"/>
      <c r="M5" s="142"/>
      <c r="N5" s="47"/>
      <c r="P5" s="47"/>
      <c r="Q5" s="47"/>
      <c r="R5" s="142"/>
      <c r="S5" s="142"/>
      <c r="T5" s="49"/>
      <c r="U5" s="49"/>
      <c r="V5" s="49"/>
      <c r="W5" s="49"/>
    </row>
    <row r="6" spans="3:30" s="48" customFormat="1" ht="6.75" customHeight="1" x14ac:dyDescent="0.2">
      <c r="C6" s="47"/>
      <c r="D6" s="47"/>
      <c r="E6" s="47"/>
      <c r="G6" s="47"/>
      <c r="H6" s="47"/>
      <c r="I6" s="47"/>
      <c r="J6" s="47"/>
      <c r="K6" s="47"/>
      <c r="L6" s="47"/>
      <c r="M6" s="142"/>
      <c r="N6" s="47"/>
      <c r="P6" s="47"/>
      <c r="Q6" s="47"/>
      <c r="R6" s="142"/>
      <c r="S6" s="142"/>
      <c r="T6" s="49"/>
      <c r="U6" s="49"/>
      <c r="V6" s="49"/>
      <c r="W6" s="49"/>
    </row>
    <row r="7" spans="3:30" s="48" customFormat="1" ht="15.75" customHeight="1" x14ac:dyDescent="0.2">
      <c r="C7" s="47"/>
      <c r="D7" s="47"/>
      <c r="E7" s="47"/>
      <c r="F7" s="269" t="str">
        <f>IF(Q8=1,"Tagesabschluss","Kassenbuch")</f>
        <v>Kassenbuch</v>
      </c>
      <c r="G7" s="47"/>
      <c r="H7" s="64" t="str">
        <f>IF(Q8&lt;&gt;1,"Abrechnung vom","Abrechnung")</f>
        <v>Abrechnung vom</v>
      </c>
      <c r="I7" s="168"/>
      <c r="J7" s="64" t="str">
        <f>IF(Q8&lt;&gt;1,"bis","am")</f>
        <v>bis</v>
      </c>
      <c r="K7" s="169"/>
      <c r="L7" s="47"/>
      <c r="M7" s="142"/>
      <c r="N7" s="47"/>
      <c r="O7" s="208"/>
      <c r="P7" s="47"/>
      <c r="Q7" s="47"/>
      <c r="R7" s="142"/>
      <c r="S7" s="142"/>
      <c r="T7" s="49"/>
      <c r="U7" s="49"/>
      <c r="V7" s="49"/>
      <c r="W7" s="49"/>
    </row>
    <row r="8" spans="3:30" s="48" customFormat="1" ht="15" x14ac:dyDescent="0.25">
      <c r="C8" s="47"/>
      <c r="D8" s="47"/>
      <c r="E8" s="47"/>
      <c r="F8" s="269"/>
      <c r="G8" s="49"/>
      <c r="H8" s="217" t="s">
        <v>129</v>
      </c>
      <c r="I8" s="273"/>
      <c r="J8" s="273"/>
      <c r="K8" s="273"/>
      <c r="L8" s="47"/>
      <c r="M8" s="142"/>
      <c r="N8" s="47"/>
      <c r="O8" s="208"/>
      <c r="P8" s="47"/>
      <c r="Q8" s="47"/>
      <c r="R8" s="142"/>
      <c r="S8" s="142"/>
      <c r="T8" s="49"/>
      <c r="U8" s="49"/>
      <c r="V8" s="49"/>
      <c r="W8" s="49"/>
    </row>
    <row r="9" spans="3:30" s="48" customFormat="1" ht="15.75" customHeight="1" x14ac:dyDescent="0.2">
      <c r="C9" s="50"/>
      <c r="D9" s="50"/>
      <c r="E9" s="50"/>
      <c r="F9" s="50"/>
      <c r="G9" s="50"/>
      <c r="H9" s="50"/>
      <c r="I9" s="50"/>
      <c r="J9" s="63"/>
      <c r="K9" s="63"/>
      <c r="L9" s="50"/>
      <c r="M9" s="143"/>
      <c r="N9" s="50"/>
      <c r="O9" s="47"/>
      <c r="P9" s="50"/>
      <c r="Q9" s="50"/>
      <c r="R9" s="143"/>
      <c r="S9" s="143"/>
      <c r="T9" s="61"/>
      <c r="U9" s="49"/>
      <c r="V9" s="49"/>
      <c r="W9" s="49"/>
    </row>
    <row r="10" spans="3:30" s="48" customFormat="1" ht="15.75" customHeight="1" x14ac:dyDescent="0.2">
      <c r="C10" s="50"/>
      <c r="D10" s="50"/>
      <c r="E10" s="50"/>
      <c r="F10" s="50"/>
      <c r="G10" s="50"/>
      <c r="H10" s="50"/>
      <c r="I10" s="50"/>
      <c r="J10" s="64" t="str">
        <f>IF(Q8=1,"","Bankbestand lt. Kontoauszug")</f>
        <v>Bankbestand lt. Kontoauszug</v>
      </c>
      <c r="K10" s="170"/>
      <c r="L10" s="50"/>
      <c r="M10" s="274" t="str">
        <f>IF(Q8=1,"","Kontrolle der Bestände nach Abrechnung
Bankbestand lt. Kontoauszug
+ Barbestand der Handkasse
+ noch nicht abgerechnete Belege RV - Aufwand
- noch nicht abgerechnete Belege RV - Ertrag
+ / - Saldo aus dieser Abrechnung 
= muss Vorschusssumme ergeben!")</f>
        <v>Kontrolle der Bestände nach Abrechnung
Bankbestand lt. Kontoauszug
+ Barbestand der Handkasse
+ noch nicht abgerechnete Belege RV - Aufwand
- noch nicht abgerechnete Belege RV - Ertrag
+ / - Saldo aus dieser Abrechnung 
= muss Vorschusssumme ergeben!</v>
      </c>
      <c r="N10" s="274"/>
      <c r="O10" s="274"/>
      <c r="P10" s="274"/>
      <c r="Q10" s="274"/>
      <c r="R10" s="143"/>
      <c r="S10" s="143"/>
      <c r="T10" s="61"/>
      <c r="U10" s="49"/>
      <c r="V10" s="49"/>
      <c r="W10" s="49"/>
    </row>
    <row r="11" spans="3:30" s="48" customFormat="1" ht="15.75" customHeight="1" x14ac:dyDescent="0.25">
      <c r="C11" s="51"/>
      <c r="D11" s="47"/>
      <c r="E11" s="47"/>
      <c r="F11" s="47"/>
      <c r="G11" s="47"/>
      <c r="H11" s="47"/>
      <c r="I11" s="47"/>
      <c r="J11" s="64" t="s">
        <v>130</v>
      </c>
      <c r="K11" s="149">
        <f>Barbestand!H24</f>
        <v>0</v>
      </c>
      <c r="L11" s="47"/>
      <c r="M11" s="274"/>
      <c r="N11" s="274"/>
      <c r="O11" s="274"/>
      <c r="P11" s="274"/>
      <c r="Q11" s="274"/>
      <c r="R11" s="142"/>
      <c r="S11" s="142"/>
      <c r="T11" s="49"/>
      <c r="U11" s="49"/>
      <c r="V11" s="49"/>
      <c r="W11" s="49"/>
    </row>
    <row r="12" spans="3:30" s="48" customFormat="1" ht="15.75" customHeight="1" x14ac:dyDescent="0.2">
      <c r="C12" s="52"/>
      <c r="D12" s="53"/>
      <c r="E12" s="53"/>
      <c r="G12" s="53"/>
      <c r="H12" s="53"/>
      <c r="I12" s="53"/>
      <c r="J12" s="64" t="str">
        <f>IF(Q8=1,"","Noch nicht abgerechnete Belege RV - Aufwand")</f>
        <v>Noch nicht abgerechnete Belege RV - Aufwand</v>
      </c>
      <c r="K12" s="170"/>
      <c r="L12" s="53"/>
      <c r="M12" s="274"/>
      <c r="N12" s="274"/>
      <c r="O12" s="274"/>
      <c r="P12" s="274"/>
      <c r="Q12" s="274"/>
      <c r="R12" s="144"/>
      <c r="S12" s="144"/>
      <c r="T12" s="206"/>
      <c r="U12" s="49"/>
      <c r="V12" s="49"/>
      <c r="W12" s="49"/>
    </row>
    <row r="13" spans="3:30" s="48" customFormat="1" ht="15.75" customHeight="1" x14ac:dyDescent="0.25">
      <c r="C13" s="52"/>
      <c r="D13" s="53"/>
      <c r="E13" s="53"/>
      <c r="G13" s="53"/>
      <c r="H13" s="53"/>
      <c r="I13" s="53"/>
      <c r="J13" s="64" t="str">
        <f>IF(Q8=1,"","Noch nicht abgerechnete Belege RV - Ertrag")</f>
        <v>Noch nicht abgerechnete Belege RV - Ertrag</v>
      </c>
      <c r="K13" s="171"/>
      <c r="L13" s="53"/>
      <c r="M13" s="274"/>
      <c r="N13" s="274"/>
      <c r="O13" s="274"/>
      <c r="P13" s="274"/>
      <c r="Q13" s="274"/>
      <c r="R13" s="144"/>
      <c r="S13" s="144"/>
      <c r="T13" s="206"/>
      <c r="U13" s="49"/>
      <c r="V13" s="49"/>
      <c r="W13" s="49"/>
      <c r="AD13" s="222"/>
    </row>
    <row r="14" spans="3:30" s="48" customFormat="1" ht="15.75" customHeight="1" x14ac:dyDescent="0.2">
      <c r="C14" s="52"/>
      <c r="D14" s="266" t="s">
        <v>98</v>
      </c>
      <c r="E14" s="266"/>
      <c r="F14" s="266"/>
      <c r="G14" s="53"/>
      <c r="H14" s="53"/>
      <c r="I14" s="53"/>
      <c r="J14" s="64" t="str">
        <f>IF(Q8=1,"",IF(K14&lt;0,"Einzug / Überweisung aus dieser Abrechnung","Erstattung aus dieser Abrechnung"))</f>
        <v>Erstattung aus dieser Abrechnung</v>
      </c>
      <c r="K14" s="167">
        <f>IF(Q8=1,"",$J$69-$I$69)</f>
        <v>0</v>
      </c>
      <c r="L14" s="53"/>
      <c r="M14" s="274"/>
      <c r="N14" s="274"/>
      <c r="O14" s="274"/>
      <c r="P14" s="274"/>
      <c r="Q14" s="274"/>
      <c r="R14" s="144"/>
      <c r="S14" s="164"/>
      <c r="T14" s="206"/>
      <c r="U14" s="136"/>
      <c r="V14" s="49"/>
      <c r="W14" s="49"/>
    </row>
    <row r="15" spans="3:30" s="48" customFormat="1" ht="15.75" customHeight="1" x14ac:dyDescent="0.2">
      <c r="C15" s="52"/>
      <c r="D15" s="265"/>
      <c r="E15" s="265"/>
      <c r="F15" s="265"/>
      <c r="G15" s="53"/>
      <c r="H15" s="53"/>
      <c r="I15" s="53"/>
      <c r="J15" s="64" t="str">
        <f>IF(Q8=1,"","Ausgezahlter Handvorschuss")</f>
        <v>Ausgezahlter Handvorschuss</v>
      </c>
      <c r="K15" s="170"/>
      <c r="L15" s="53"/>
      <c r="M15" s="274"/>
      <c r="N15" s="274"/>
      <c r="O15" s="274"/>
      <c r="P15" s="274"/>
      <c r="Q15" s="274"/>
      <c r="R15" s="144"/>
      <c r="S15" s="164"/>
      <c r="T15" s="206"/>
      <c r="U15" s="136"/>
      <c r="V15" s="49"/>
      <c r="W15" s="49"/>
    </row>
    <row r="16" spans="3:30" s="48" customFormat="1" ht="15" customHeight="1" x14ac:dyDescent="0.2">
      <c r="C16" s="53"/>
      <c r="D16" s="265"/>
      <c r="E16" s="265"/>
      <c r="F16" s="265"/>
      <c r="G16" s="53"/>
      <c r="H16" s="53"/>
      <c r="I16" s="53"/>
      <c r="J16" s="65" t="str">
        <f>IF(Q8=1,"","Prüfung Vorschusssumme")</f>
        <v>Prüfung Vorschusssumme</v>
      </c>
      <c r="K16" s="66">
        <f>IF(Q8=1,"",$K$10+$K$11+$J$69-$I$69+$K$12-$K$13)</f>
        <v>0</v>
      </c>
      <c r="L16" s="53"/>
      <c r="M16" s="274"/>
      <c r="N16" s="274"/>
      <c r="O16" s="274"/>
      <c r="P16" s="274"/>
      <c r="Q16" s="274"/>
      <c r="R16" s="144"/>
      <c r="S16" s="144"/>
      <c r="T16" s="206"/>
      <c r="U16" s="49"/>
      <c r="V16" s="49"/>
      <c r="W16" s="49"/>
    </row>
    <row r="17" spans="1:31" s="48" customFormat="1" x14ac:dyDescent="0.2">
      <c r="C17" s="53"/>
      <c r="D17" s="165"/>
      <c r="E17" s="265"/>
      <c r="F17" s="265"/>
      <c r="G17" s="53"/>
      <c r="H17" s="53"/>
      <c r="I17" s="275"/>
      <c r="J17" s="275"/>
      <c r="L17" s="53"/>
      <c r="M17" s="274"/>
      <c r="N17" s="274"/>
      <c r="O17" s="274"/>
      <c r="P17" s="274"/>
      <c r="Q17" s="274"/>
      <c r="R17" s="144"/>
      <c r="S17" s="144"/>
      <c r="T17" s="277" t="s">
        <v>100</v>
      </c>
      <c r="U17" s="277"/>
      <c r="V17" s="277"/>
      <c r="W17" s="277"/>
      <c r="X17" s="277"/>
      <c r="Y17" s="277"/>
      <c r="Z17" s="277"/>
      <c r="AA17" s="277"/>
    </row>
    <row r="18" spans="1:31" ht="21.75" customHeight="1" x14ac:dyDescent="0.2">
      <c r="C18" s="54"/>
      <c r="D18" s="54"/>
      <c r="E18" s="264"/>
      <c r="F18" s="264"/>
      <c r="G18" s="54"/>
      <c r="H18" s="54"/>
      <c r="I18" s="278" t="s">
        <v>171</v>
      </c>
      <c r="J18" s="278"/>
      <c r="K18" s="166"/>
      <c r="L18" s="101"/>
      <c r="M18" s="145"/>
      <c r="N18" s="101"/>
      <c r="O18" s="101"/>
      <c r="P18" s="101"/>
      <c r="Q18" s="101"/>
      <c r="R18" s="145"/>
      <c r="S18" s="145"/>
      <c r="T18" s="276" t="s">
        <v>106</v>
      </c>
      <c r="U18" s="276"/>
      <c r="V18" s="276"/>
      <c r="W18" s="207"/>
      <c r="Y18" s="276" t="s">
        <v>107</v>
      </c>
      <c r="Z18" s="276"/>
      <c r="AA18" s="276"/>
    </row>
    <row r="19" spans="1:31" ht="26.25" customHeight="1" x14ac:dyDescent="0.2">
      <c r="C19" s="75" t="s">
        <v>96</v>
      </c>
      <c r="D19" s="76" t="s">
        <v>7</v>
      </c>
      <c r="E19" s="280" t="s">
        <v>172</v>
      </c>
      <c r="F19" s="280"/>
      <c r="G19" s="76" t="s">
        <v>3</v>
      </c>
      <c r="H19" s="76" t="s">
        <v>76</v>
      </c>
      <c r="I19" s="76" t="s">
        <v>108</v>
      </c>
      <c r="J19" s="209" t="s">
        <v>109</v>
      </c>
      <c r="K19" s="77" t="s">
        <v>97</v>
      </c>
      <c r="L19" s="56"/>
      <c r="M19" s="140" t="s">
        <v>127</v>
      </c>
      <c r="N19" s="56"/>
      <c r="O19" s="279" t="s">
        <v>237</v>
      </c>
      <c r="P19" s="279"/>
      <c r="Q19" s="279"/>
      <c r="R19" s="192" t="s">
        <v>131</v>
      </c>
      <c r="S19" s="140" t="s">
        <v>76</v>
      </c>
      <c r="T19" s="62" t="s">
        <v>110</v>
      </c>
      <c r="U19" s="62" t="s">
        <v>94</v>
      </c>
      <c r="V19" s="55" t="s">
        <v>109</v>
      </c>
      <c r="W19" s="55" t="s">
        <v>174</v>
      </c>
      <c r="Y19" s="62" t="s">
        <v>87</v>
      </c>
      <c r="Z19" s="62" t="s">
        <v>174</v>
      </c>
      <c r="AA19" s="55" t="s">
        <v>108</v>
      </c>
      <c r="AB19" s="55" t="s">
        <v>238</v>
      </c>
      <c r="AC19" s="55" t="s">
        <v>239</v>
      </c>
      <c r="AD19" s="55"/>
    </row>
    <row r="20" spans="1:31" ht="24.75" customHeight="1" x14ac:dyDescent="0.2">
      <c r="A20" s="219" t="str">
        <f>Y20</f>
        <v/>
      </c>
      <c r="B20" s="207" t="str">
        <f t="shared" ref="B20:B22" si="0">IF(V20&lt;&gt;"",CONCATENATE(R20,W20)*1,"")</f>
        <v/>
      </c>
      <c r="C20" s="67">
        <v>1</v>
      </c>
      <c r="D20" s="72"/>
      <c r="E20" s="263"/>
      <c r="F20" s="263"/>
      <c r="G20" s="73"/>
      <c r="H20" s="68" t="str">
        <f t="shared" ref="H20:H51" si="1">IF($R20="","",IF($R20=1,VLOOKUP($S20,SaKoBereichAufwand,2,FALSE),VLOOKUP($S20,SaKoBereichErtrag,2,FALSE)))</f>
        <v/>
      </c>
      <c r="I20" s="69"/>
      <c r="J20" s="138"/>
      <c r="K20" s="70" t="str">
        <f>IF(OR($I20&lt;&gt;"",$J20&lt;&gt;""),$K$15+$I20-$J20,"")</f>
        <v/>
      </c>
      <c r="L20" s="57"/>
      <c r="M20" s="146"/>
      <c r="N20" s="57"/>
      <c r="O20" s="57"/>
      <c r="P20" s="57"/>
      <c r="Q20" s="57"/>
      <c r="R20" s="210"/>
      <c r="S20" s="211"/>
      <c r="T20" s="212" t="str">
        <f t="shared" ref="T20:T51" si="2">IF(AND($J20&lt;&gt;"",$R20=1),IF($G20&amp;$H20="","",VALUE($H20&amp;$G20)),"")</f>
        <v/>
      </c>
      <c r="U20" s="213" t="str">
        <f t="shared" ref="U20:U51" si="3">IF(AND($J20&lt;&gt;"",$R20=1),C20,"")</f>
        <v/>
      </c>
      <c r="V20" s="214" t="str">
        <f t="shared" ref="V20:V51" si="4">IF(AND($J20&lt;&gt;"",$R20=1),$J20,"")</f>
        <v/>
      </c>
      <c r="W20" s="213" t="str">
        <f t="shared" ref="W20:W51" si="5">IF(V20="","",C20)</f>
        <v/>
      </c>
      <c r="X20" s="215"/>
      <c r="Y20" s="212" t="str">
        <f>IF(AND($I20&lt;&gt;"",$R20=2),IF($G20&amp;$H20="","",VALUE(AB20&amp;AC20&amp;$G20)),"")</f>
        <v/>
      </c>
      <c r="Z20" s="213" t="str">
        <f t="shared" ref="Z20:Z51" si="6">IF(AND($I20&lt;&gt;"",$R20=2),C20,"")</f>
        <v/>
      </c>
      <c r="AA20" s="214" t="str">
        <f t="shared" ref="AA20:AA51" si="7">IF(AND($I20&lt;&gt;"",$R20=2),$I20,"")</f>
        <v/>
      </c>
      <c r="AB20" s="219" t="str">
        <f>IF(Z20="","",CONCATENATE(RIGHT(YEAR(D20),2),IF(LEN(MONTH(D20))=1,CONCATENATE("0",MONTH(D20)),MONTH(D20)))*1)</f>
        <v/>
      </c>
      <c r="AC20" s="220" t="str">
        <f>IFERROR(IF(VLOOKUP(H20,SaKo!D:J,6,FALSE)&lt;10,CONCATENATE("0",VLOOKUP(H20,SaKo!D:J,6,FALSE)),VLOOKUP(H20,SaKo!D:J,6,FALSE)),"")</f>
        <v/>
      </c>
      <c r="AD20" s="221"/>
      <c r="AE20" s="218"/>
    </row>
    <row r="21" spans="1:31" ht="23.1" customHeight="1" x14ac:dyDescent="0.2">
      <c r="A21" s="219" t="str">
        <f t="shared" ref="A21:A68" si="8">Y21</f>
        <v/>
      </c>
      <c r="B21" s="207" t="str">
        <f t="shared" si="0"/>
        <v/>
      </c>
      <c r="C21" s="71">
        <v>2</v>
      </c>
      <c r="D21" s="72"/>
      <c r="E21" s="263"/>
      <c r="F21" s="263"/>
      <c r="G21" s="73"/>
      <c r="H21" s="68" t="str">
        <f t="shared" si="1"/>
        <v/>
      </c>
      <c r="I21" s="69"/>
      <c r="J21" s="138"/>
      <c r="K21" s="74" t="str">
        <f>IF(OR($I21&lt;&gt;"",$J21&lt;&gt;""),K20+I21-J21,"")</f>
        <v/>
      </c>
      <c r="L21" s="57"/>
      <c r="M21" s="146"/>
      <c r="N21" s="57"/>
      <c r="O21" s="57"/>
      <c r="P21" s="57"/>
      <c r="Q21" s="57"/>
      <c r="R21" s="210"/>
      <c r="S21" s="210"/>
      <c r="T21" s="212" t="str">
        <f t="shared" si="2"/>
        <v/>
      </c>
      <c r="U21" s="213" t="str">
        <f t="shared" si="3"/>
        <v/>
      </c>
      <c r="V21" s="214" t="str">
        <f t="shared" si="4"/>
        <v/>
      </c>
      <c r="W21" s="213" t="str">
        <f t="shared" si="5"/>
        <v/>
      </c>
      <c r="X21" s="215"/>
      <c r="Y21" s="212" t="str">
        <f t="shared" ref="Y21:Y68" si="9">IF(AND($I21&lt;&gt;"",$R21=2),IF($G21&amp;$H21="","",VALUE(AB21&amp;AC21&amp;$G21)),"")</f>
        <v/>
      </c>
      <c r="Z21" s="213" t="str">
        <f t="shared" si="6"/>
        <v/>
      </c>
      <c r="AA21" s="214" t="str">
        <f t="shared" si="7"/>
        <v/>
      </c>
      <c r="AB21" s="219" t="str">
        <f t="shared" ref="AB21:AB30" si="10">IF(Z21="","",CONCATENATE(RIGHT(YEAR(D21),2),IF(LEN(MONTH(D21))=1,CONCATENATE("0",MONTH(D21)),MONTH(D21)))*1)</f>
        <v/>
      </c>
      <c r="AC21" s="221" t="str">
        <f>IFERROR(IF(VLOOKUP(H21,SaKo!D:J,6,FALSE)&lt;10,CONCATENATE("0",VLOOKUP(H21,SaKo!D:J,6,FALSE)),VLOOKUP(H21,SaKo!D:J,6,FALSE)),"")</f>
        <v/>
      </c>
      <c r="AD21" s="221"/>
    </row>
    <row r="22" spans="1:31" ht="23.1" customHeight="1" x14ac:dyDescent="0.2">
      <c r="A22" s="219" t="str">
        <f t="shared" si="8"/>
        <v/>
      </c>
      <c r="B22" s="207" t="str">
        <f t="shared" si="0"/>
        <v/>
      </c>
      <c r="C22" s="71">
        <v>3</v>
      </c>
      <c r="D22" s="72"/>
      <c r="E22" s="263"/>
      <c r="F22" s="263"/>
      <c r="G22" s="73"/>
      <c r="H22" s="68" t="str">
        <f t="shared" si="1"/>
        <v/>
      </c>
      <c r="I22" s="69"/>
      <c r="J22" s="138"/>
      <c r="K22" s="74" t="str">
        <f t="shared" ref="K22:K68" si="11">IF(OR($I22&lt;&gt;"",$J22&lt;&gt;""),K21+I22-J22,"")</f>
        <v/>
      </c>
      <c r="L22" s="57"/>
      <c r="M22" s="146"/>
      <c r="N22" s="57"/>
      <c r="O22" s="57"/>
      <c r="P22" s="57"/>
      <c r="Q22" s="57"/>
      <c r="R22" s="210"/>
      <c r="S22" s="210"/>
      <c r="T22" s="213" t="str">
        <f t="shared" si="2"/>
        <v/>
      </c>
      <c r="U22" s="213" t="str">
        <f t="shared" si="3"/>
        <v/>
      </c>
      <c r="V22" s="214" t="str">
        <f t="shared" si="4"/>
        <v/>
      </c>
      <c r="W22" s="213" t="str">
        <f t="shared" si="5"/>
        <v/>
      </c>
      <c r="X22" s="215"/>
      <c r="Y22" s="212" t="str">
        <f t="shared" si="9"/>
        <v/>
      </c>
      <c r="Z22" s="213" t="str">
        <f t="shared" si="6"/>
        <v/>
      </c>
      <c r="AA22" s="214" t="str">
        <f t="shared" si="7"/>
        <v/>
      </c>
      <c r="AB22" s="219" t="str">
        <f t="shared" si="10"/>
        <v/>
      </c>
      <c r="AC22" s="221" t="str">
        <f>IFERROR(IF(VLOOKUP(H22,SaKo!D:J,6,FALSE)&lt;10,CONCATENATE("0",VLOOKUP(H22,SaKo!D:J,6,FALSE)),VLOOKUP(H22,SaKo!D:J,6,FALSE)),"")</f>
        <v/>
      </c>
      <c r="AD22" s="221"/>
    </row>
    <row r="23" spans="1:31" ht="23.1" customHeight="1" x14ac:dyDescent="0.2">
      <c r="A23" s="219" t="str">
        <f t="shared" si="8"/>
        <v/>
      </c>
      <c r="B23" s="207" t="str">
        <f>IF(V23&lt;&gt;"",CONCATENATE(R23,W23)*1,"")</f>
        <v/>
      </c>
      <c r="C23" s="71">
        <v>4</v>
      </c>
      <c r="D23" s="72"/>
      <c r="E23" s="263"/>
      <c r="F23" s="263"/>
      <c r="G23" s="73"/>
      <c r="H23" s="68" t="str">
        <f t="shared" si="1"/>
        <v/>
      </c>
      <c r="I23" s="69"/>
      <c r="J23" s="138"/>
      <c r="K23" s="74" t="str">
        <f>IF(OR($I23&lt;&gt;"",$J23&lt;&gt;""),K22+I23-J23,"")</f>
        <v/>
      </c>
      <c r="L23" s="57"/>
      <c r="M23" s="146"/>
      <c r="N23" s="57"/>
      <c r="O23" s="57"/>
      <c r="P23" s="57"/>
      <c r="Q23" s="57"/>
      <c r="R23" s="210"/>
      <c r="S23" s="210"/>
      <c r="T23" s="213" t="str">
        <f>IF(AND($J23&lt;&gt;"",$R23=1),IF($G23&amp;$H23="","",VALUE($H23&amp;$G23)),"")</f>
        <v/>
      </c>
      <c r="U23" s="213" t="str">
        <f t="shared" si="3"/>
        <v/>
      </c>
      <c r="V23" s="214" t="str">
        <f t="shared" si="4"/>
        <v/>
      </c>
      <c r="W23" s="213" t="str">
        <f t="shared" si="5"/>
        <v/>
      </c>
      <c r="X23" s="215"/>
      <c r="Y23" s="212" t="str">
        <f t="shared" si="9"/>
        <v/>
      </c>
      <c r="Z23" s="213" t="str">
        <f t="shared" si="6"/>
        <v/>
      </c>
      <c r="AA23" s="214" t="str">
        <f t="shared" si="7"/>
        <v/>
      </c>
      <c r="AB23" s="219" t="str">
        <f t="shared" si="10"/>
        <v/>
      </c>
      <c r="AC23" s="221" t="str">
        <f>IFERROR(IF(VLOOKUP(H23,SaKo!D:J,6,FALSE)&lt;10,CONCATENATE("0",VLOOKUP(H23,SaKo!D:J,6,FALSE)),VLOOKUP(H23,SaKo!D:J,6,FALSE)),"")</f>
        <v/>
      </c>
      <c r="AD23" s="221"/>
    </row>
    <row r="24" spans="1:31" ht="23.1" customHeight="1" x14ac:dyDescent="0.2">
      <c r="A24" s="219" t="str">
        <f t="shared" si="8"/>
        <v/>
      </c>
      <c r="B24" s="207" t="str">
        <f t="shared" ref="B24:B42" si="12">IF(V24&lt;&gt;"",CONCATENATE(R24,W24)*1,"")</f>
        <v/>
      </c>
      <c r="C24" s="71">
        <v>5</v>
      </c>
      <c r="D24" s="72"/>
      <c r="E24" s="263"/>
      <c r="F24" s="263"/>
      <c r="G24" s="73"/>
      <c r="H24" s="68" t="str">
        <f t="shared" si="1"/>
        <v/>
      </c>
      <c r="I24" s="69"/>
      <c r="J24" s="138"/>
      <c r="K24" s="74" t="str">
        <f t="shared" si="11"/>
        <v/>
      </c>
      <c r="L24" s="57"/>
      <c r="M24" s="146"/>
      <c r="N24" s="57"/>
      <c r="O24" s="57"/>
      <c r="P24" s="57"/>
      <c r="Q24" s="57"/>
      <c r="R24" s="210"/>
      <c r="S24" s="210"/>
      <c r="T24" s="213" t="str">
        <f t="shared" si="2"/>
        <v/>
      </c>
      <c r="U24" s="213" t="str">
        <f t="shared" si="3"/>
        <v/>
      </c>
      <c r="V24" s="214" t="str">
        <f t="shared" si="4"/>
        <v/>
      </c>
      <c r="W24" s="213" t="str">
        <f t="shared" si="5"/>
        <v/>
      </c>
      <c r="X24" s="215"/>
      <c r="Y24" s="212" t="str">
        <f t="shared" si="9"/>
        <v/>
      </c>
      <c r="Z24" s="213" t="str">
        <f t="shared" si="6"/>
        <v/>
      </c>
      <c r="AA24" s="214" t="str">
        <f t="shared" si="7"/>
        <v/>
      </c>
      <c r="AB24" s="219" t="str">
        <f t="shared" si="10"/>
        <v/>
      </c>
      <c r="AC24" s="221" t="str">
        <f>IFERROR(IF(VLOOKUP(H24,SaKo!D:J,6,FALSE)&lt;10,CONCATENATE("0",VLOOKUP(H24,SaKo!D:J,6,FALSE)),VLOOKUP(H24,SaKo!D:J,6,FALSE)),"")</f>
        <v/>
      </c>
      <c r="AD24" s="221"/>
    </row>
    <row r="25" spans="1:31" ht="23.1" customHeight="1" x14ac:dyDescent="0.2">
      <c r="A25" s="219" t="str">
        <f t="shared" si="8"/>
        <v/>
      </c>
      <c r="B25" s="207" t="str">
        <f>IF(V25&lt;&gt;"",CONCATENATE(R25,W25)*1,"")</f>
        <v/>
      </c>
      <c r="C25" s="71">
        <v>6</v>
      </c>
      <c r="D25" s="72"/>
      <c r="E25" s="263"/>
      <c r="F25" s="263"/>
      <c r="G25" s="73"/>
      <c r="H25" s="68" t="str">
        <f t="shared" si="1"/>
        <v/>
      </c>
      <c r="I25" s="69"/>
      <c r="J25" s="138"/>
      <c r="K25" s="74" t="str">
        <f t="shared" si="11"/>
        <v/>
      </c>
      <c r="L25" s="57"/>
      <c r="M25" s="146"/>
      <c r="N25" s="57"/>
      <c r="O25" s="57"/>
      <c r="P25" s="57"/>
      <c r="Q25" s="57"/>
      <c r="R25" s="210"/>
      <c r="S25" s="210"/>
      <c r="T25" s="213" t="str">
        <f t="shared" si="2"/>
        <v/>
      </c>
      <c r="U25" s="213" t="str">
        <f t="shared" si="3"/>
        <v/>
      </c>
      <c r="V25" s="214" t="str">
        <f t="shared" si="4"/>
        <v/>
      </c>
      <c r="W25" s="213" t="str">
        <f t="shared" si="5"/>
        <v/>
      </c>
      <c r="X25" s="215"/>
      <c r="Y25" s="212" t="str">
        <f t="shared" si="9"/>
        <v/>
      </c>
      <c r="Z25" s="213" t="str">
        <f t="shared" si="6"/>
        <v/>
      </c>
      <c r="AA25" s="214" t="str">
        <f t="shared" si="7"/>
        <v/>
      </c>
      <c r="AB25" s="219" t="str">
        <f t="shared" si="10"/>
        <v/>
      </c>
      <c r="AC25" s="221" t="str">
        <f>IFERROR(IF(VLOOKUP(H25,SaKo!D:J,6,FALSE)&lt;10,CONCATENATE("0",VLOOKUP(H25,SaKo!D:J,6,FALSE)),VLOOKUP(H25,SaKo!D:J,6,FALSE)),"")</f>
        <v/>
      </c>
      <c r="AD25" s="221"/>
    </row>
    <row r="26" spans="1:31" ht="23.1" customHeight="1" x14ac:dyDescent="0.2">
      <c r="A26" s="219" t="str">
        <f t="shared" si="8"/>
        <v/>
      </c>
      <c r="B26" s="207" t="str">
        <f t="shared" si="12"/>
        <v/>
      </c>
      <c r="C26" s="71">
        <v>7</v>
      </c>
      <c r="D26" s="72"/>
      <c r="E26" s="263"/>
      <c r="F26" s="263"/>
      <c r="G26" s="73"/>
      <c r="H26" s="68" t="str">
        <f t="shared" si="1"/>
        <v/>
      </c>
      <c r="I26" s="69"/>
      <c r="J26" s="138"/>
      <c r="K26" s="74" t="str">
        <f t="shared" si="11"/>
        <v/>
      </c>
      <c r="L26" s="57"/>
      <c r="M26" s="146"/>
      <c r="N26" s="57"/>
      <c r="O26" s="57"/>
      <c r="P26" s="57"/>
      <c r="Q26" s="57"/>
      <c r="R26" s="210"/>
      <c r="S26" s="210"/>
      <c r="T26" s="213" t="str">
        <f t="shared" si="2"/>
        <v/>
      </c>
      <c r="U26" s="213" t="str">
        <f t="shared" si="3"/>
        <v/>
      </c>
      <c r="V26" s="214" t="str">
        <f t="shared" si="4"/>
        <v/>
      </c>
      <c r="W26" s="213" t="str">
        <f t="shared" si="5"/>
        <v/>
      </c>
      <c r="X26" s="215"/>
      <c r="Y26" s="212" t="str">
        <f t="shared" si="9"/>
        <v/>
      </c>
      <c r="Z26" s="213" t="str">
        <f t="shared" si="6"/>
        <v/>
      </c>
      <c r="AA26" s="214" t="str">
        <f t="shared" si="7"/>
        <v/>
      </c>
      <c r="AB26" s="219" t="str">
        <f t="shared" si="10"/>
        <v/>
      </c>
      <c r="AC26" s="221" t="str">
        <f>IFERROR(IF(VLOOKUP(H26,SaKo!D:J,6,FALSE)&lt;10,CONCATENATE("0",VLOOKUP(H26,SaKo!D:J,6,FALSE)),VLOOKUP(H26,SaKo!D:J,6,FALSE)),"")</f>
        <v/>
      </c>
      <c r="AD26" s="221"/>
    </row>
    <row r="27" spans="1:31" ht="23.1" customHeight="1" x14ac:dyDescent="0.2">
      <c r="A27" s="219" t="str">
        <f t="shared" si="8"/>
        <v/>
      </c>
      <c r="B27" s="207" t="str">
        <f t="shared" si="12"/>
        <v/>
      </c>
      <c r="C27" s="71">
        <v>8</v>
      </c>
      <c r="D27" s="72"/>
      <c r="E27" s="263"/>
      <c r="F27" s="263"/>
      <c r="G27" s="73"/>
      <c r="H27" s="68" t="str">
        <f t="shared" si="1"/>
        <v/>
      </c>
      <c r="I27" s="69"/>
      <c r="J27" s="138"/>
      <c r="K27" s="74" t="str">
        <f t="shared" si="11"/>
        <v/>
      </c>
      <c r="L27" s="57"/>
      <c r="M27" s="146"/>
      <c r="N27" s="57"/>
      <c r="O27" s="57"/>
      <c r="P27" s="57"/>
      <c r="Q27" s="57"/>
      <c r="R27" s="210"/>
      <c r="S27" s="210"/>
      <c r="T27" s="213" t="str">
        <f t="shared" si="2"/>
        <v/>
      </c>
      <c r="U27" s="213" t="str">
        <f t="shared" si="3"/>
        <v/>
      </c>
      <c r="V27" s="214" t="str">
        <f t="shared" si="4"/>
        <v/>
      </c>
      <c r="W27" s="213" t="str">
        <f t="shared" si="5"/>
        <v/>
      </c>
      <c r="X27" s="215"/>
      <c r="Y27" s="212" t="str">
        <f t="shared" si="9"/>
        <v/>
      </c>
      <c r="Z27" s="213" t="str">
        <f t="shared" si="6"/>
        <v/>
      </c>
      <c r="AA27" s="214" t="str">
        <f t="shared" si="7"/>
        <v/>
      </c>
      <c r="AB27" s="219" t="str">
        <f t="shared" si="10"/>
        <v/>
      </c>
      <c r="AC27" s="221" t="str">
        <f>IFERROR(IF(VLOOKUP(H27,SaKo!D:J,6,FALSE)&lt;10,CONCATENATE("0",VLOOKUP(H27,SaKo!D:J,6,FALSE)),VLOOKUP(H27,SaKo!D:J,6,FALSE)),"")</f>
        <v/>
      </c>
      <c r="AD27" s="221"/>
    </row>
    <row r="28" spans="1:31" ht="23.1" customHeight="1" x14ac:dyDescent="0.2">
      <c r="A28" s="219" t="str">
        <f t="shared" si="8"/>
        <v/>
      </c>
      <c r="B28" s="207" t="str">
        <f t="shared" si="12"/>
        <v/>
      </c>
      <c r="C28" s="71">
        <v>9</v>
      </c>
      <c r="D28" s="72"/>
      <c r="E28" s="263"/>
      <c r="F28" s="263"/>
      <c r="G28" s="73"/>
      <c r="H28" s="68" t="str">
        <f t="shared" si="1"/>
        <v/>
      </c>
      <c r="I28" s="69"/>
      <c r="J28" s="138"/>
      <c r="K28" s="74" t="str">
        <f t="shared" si="11"/>
        <v/>
      </c>
      <c r="L28" s="57"/>
      <c r="M28" s="146"/>
      <c r="N28" s="57"/>
      <c r="O28" s="57"/>
      <c r="P28" s="57"/>
      <c r="Q28" s="57"/>
      <c r="R28" s="210"/>
      <c r="S28" s="210"/>
      <c r="T28" s="213" t="str">
        <f t="shared" si="2"/>
        <v/>
      </c>
      <c r="U28" s="213" t="str">
        <f t="shared" si="3"/>
        <v/>
      </c>
      <c r="V28" s="214" t="str">
        <f t="shared" si="4"/>
        <v/>
      </c>
      <c r="W28" s="213" t="str">
        <f t="shared" si="5"/>
        <v/>
      </c>
      <c r="X28" s="215"/>
      <c r="Y28" s="212" t="str">
        <f t="shared" si="9"/>
        <v/>
      </c>
      <c r="Z28" s="213" t="str">
        <f t="shared" si="6"/>
        <v/>
      </c>
      <c r="AA28" s="214" t="str">
        <f t="shared" si="7"/>
        <v/>
      </c>
      <c r="AB28" s="219" t="str">
        <f t="shared" si="10"/>
        <v/>
      </c>
      <c r="AC28" s="221" t="str">
        <f>IFERROR(IF(VLOOKUP(H28,SaKo!D:J,6,FALSE)&lt;10,CONCATENATE("0",VLOOKUP(H28,SaKo!D:J,6,FALSE)),VLOOKUP(H28,SaKo!D:J,6,FALSE)),"")</f>
        <v/>
      </c>
      <c r="AD28" s="221"/>
    </row>
    <row r="29" spans="1:31" ht="23.1" customHeight="1" x14ac:dyDescent="0.2">
      <c r="A29" s="219" t="str">
        <f t="shared" si="8"/>
        <v/>
      </c>
      <c r="B29" s="207" t="str">
        <f t="shared" si="12"/>
        <v/>
      </c>
      <c r="C29" s="71">
        <v>10</v>
      </c>
      <c r="D29" s="72"/>
      <c r="E29" s="263"/>
      <c r="F29" s="263"/>
      <c r="G29" s="73"/>
      <c r="H29" s="68" t="str">
        <f t="shared" si="1"/>
        <v/>
      </c>
      <c r="I29" s="69"/>
      <c r="J29" s="138"/>
      <c r="K29" s="74" t="str">
        <f t="shared" si="11"/>
        <v/>
      </c>
      <c r="L29" s="57"/>
      <c r="M29" s="146"/>
      <c r="N29" s="57"/>
      <c r="O29" s="57"/>
      <c r="P29" s="57"/>
      <c r="Q29" s="57"/>
      <c r="R29" s="210"/>
      <c r="S29" s="210"/>
      <c r="T29" s="213" t="str">
        <f t="shared" si="2"/>
        <v/>
      </c>
      <c r="U29" s="213" t="str">
        <f t="shared" si="3"/>
        <v/>
      </c>
      <c r="V29" s="214" t="str">
        <f t="shared" si="4"/>
        <v/>
      </c>
      <c r="W29" s="213" t="str">
        <f t="shared" si="5"/>
        <v/>
      </c>
      <c r="X29" s="215"/>
      <c r="Y29" s="212" t="str">
        <f t="shared" si="9"/>
        <v/>
      </c>
      <c r="Z29" s="213" t="str">
        <f t="shared" si="6"/>
        <v/>
      </c>
      <c r="AA29" s="214" t="str">
        <f t="shared" si="7"/>
        <v/>
      </c>
      <c r="AB29" s="219" t="str">
        <f t="shared" si="10"/>
        <v/>
      </c>
      <c r="AC29" s="221" t="str">
        <f>IFERROR(IF(VLOOKUP(H29,SaKo!D:J,6,FALSE)&lt;10,CONCATENATE("0",VLOOKUP(H29,SaKo!D:J,6,FALSE)),VLOOKUP(H29,SaKo!D:J,6,FALSE)),"")</f>
        <v/>
      </c>
      <c r="AD29" s="221"/>
    </row>
    <row r="30" spans="1:31" ht="23.1" customHeight="1" x14ac:dyDescent="0.2">
      <c r="A30" s="219" t="str">
        <f t="shared" si="8"/>
        <v/>
      </c>
      <c r="B30" s="207" t="str">
        <f t="shared" si="12"/>
        <v/>
      </c>
      <c r="C30" s="71">
        <v>11</v>
      </c>
      <c r="D30" s="72"/>
      <c r="E30" s="263"/>
      <c r="F30" s="263"/>
      <c r="G30" s="73"/>
      <c r="H30" s="68" t="str">
        <f t="shared" si="1"/>
        <v/>
      </c>
      <c r="I30" s="69"/>
      <c r="J30" s="138"/>
      <c r="K30" s="74" t="str">
        <f t="shared" si="11"/>
        <v/>
      </c>
      <c r="L30" s="57"/>
      <c r="M30" s="146"/>
      <c r="N30" s="57"/>
      <c r="O30" s="57"/>
      <c r="P30" s="57"/>
      <c r="Q30" s="57"/>
      <c r="R30" s="210"/>
      <c r="S30" s="210"/>
      <c r="T30" s="213" t="str">
        <f t="shared" si="2"/>
        <v/>
      </c>
      <c r="U30" s="213" t="str">
        <f t="shared" si="3"/>
        <v/>
      </c>
      <c r="V30" s="214" t="str">
        <f t="shared" si="4"/>
        <v/>
      </c>
      <c r="W30" s="213" t="str">
        <f t="shared" si="5"/>
        <v/>
      </c>
      <c r="X30" s="215"/>
      <c r="Y30" s="212" t="str">
        <f t="shared" si="9"/>
        <v/>
      </c>
      <c r="Z30" s="213" t="str">
        <f t="shared" si="6"/>
        <v/>
      </c>
      <c r="AA30" s="214" t="str">
        <f t="shared" si="7"/>
        <v/>
      </c>
      <c r="AB30" s="219" t="str">
        <f t="shared" si="10"/>
        <v/>
      </c>
      <c r="AC30" s="221" t="str">
        <f>IFERROR(IF(VLOOKUP(H30,SaKo!D:J,6,FALSE)&lt;10,CONCATENATE("0",VLOOKUP(H30,SaKo!D:J,6,FALSE)),VLOOKUP(H30,SaKo!D:J,6,FALSE)),"")</f>
        <v/>
      </c>
      <c r="AD30" s="221"/>
    </row>
    <row r="31" spans="1:31" ht="23.1" customHeight="1" x14ac:dyDescent="0.2">
      <c r="A31" s="219" t="str">
        <f t="shared" si="8"/>
        <v/>
      </c>
      <c r="B31" s="207" t="str">
        <f t="shared" si="12"/>
        <v/>
      </c>
      <c r="C31" s="71">
        <v>12</v>
      </c>
      <c r="D31" s="72"/>
      <c r="E31" s="263"/>
      <c r="F31" s="263"/>
      <c r="G31" s="73"/>
      <c r="H31" s="68" t="str">
        <f t="shared" si="1"/>
        <v/>
      </c>
      <c r="I31" s="69"/>
      <c r="J31" s="138"/>
      <c r="K31" s="74" t="str">
        <f t="shared" si="11"/>
        <v/>
      </c>
      <c r="L31" s="57"/>
      <c r="M31" s="146"/>
      <c r="N31" s="57"/>
      <c r="O31" s="57"/>
      <c r="P31" s="57"/>
      <c r="Q31" s="57"/>
      <c r="R31" s="210"/>
      <c r="S31" s="210"/>
      <c r="T31" s="213" t="str">
        <f t="shared" si="2"/>
        <v/>
      </c>
      <c r="U31" s="213" t="str">
        <f t="shared" si="3"/>
        <v/>
      </c>
      <c r="V31" s="214" t="str">
        <f t="shared" si="4"/>
        <v/>
      </c>
      <c r="W31" s="213" t="str">
        <f t="shared" si="5"/>
        <v/>
      </c>
      <c r="X31" s="215"/>
      <c r="Y31" s="212" t="str">
        <f t="shared" si="9"/>
        <v/>
      </c>
      <c r="Z31" s="213" t="str">
        <f t="shared" si="6"/>
        <v/>
      </c>
      <c r="AA31" s="214" t="str">
        <f t="shared" si="7"/>
        <v/>
      </c>
      <c r="AB31" s="219" t="str">
        <f t="shared" ref="AB31:AB68" si="13">IF(Z31="","",CONCATENATE(RIGHT(YEAR(D31),2),IF(LEN(MONTH(D31))=1,CONCATENATE("0",MONTH(D31)),MONTH(D31)))*1)</f>
        <v/>
      </c>
      <c r="AC31" s="221" t="str">
        <f>IFERROR(IF(VLOOKUP(H31,SaKo!D:J,6,FALSE)&lt;10,CONCATENATE("0",VLOOKUP(H31,SaKo!D:J,6,FALSE)),VLOOKUP(H31,SaKo!D:J,6,FALSE)),"")</f>
        <v/>
      </c>
      <c r="AD31" s="221"/>
    </row>
    <row r="32" spans="1:31" ht="23.1" customHeight="1" x14ac:dyDescent="0.2">
      <c r="A32" s="219" t="str">
        <f t="shared" si="8"/>
        <v/>
      </c>
      <c r="B32" s="207" t="str">
        <f t="shared" si="12"/>
        <v/>
      </c>
      <c r="C32" s="71">
        <v>13</v>
      </c>
      <c r="D32" s="72"/>
      <c r="E32" s="263"/>
      <c r="F32" s="263"/>
      <c r="G32" s="73"/>
      <c r="H32" s="68" t="str">
        <f t="shared" si="1"/>
        <v/>
      </c>
      <c r="I32" s="69"/>
      <c r="J32" s="138"/>
      <c r="K32" s="74" t="str">
        <f t="shared" si="11"/>
        <v/>
      </c>
      <c r="L32" s="57"/>
      <c r="M32" s="146"/>
      <c r="N32" s="57"/>
      <c r="O32" s="57"/>
      <c r="P32" s="57"/>
      <c r="Q32" s="57"/>
      <c r="R32" s="216"/>
      <c r="S32" s="210"/>
      <c r="T32" s="213" t="str">
        <f t="shared" si="2"/>
        <v/>
      </c>
      <c r="U32" s="213" t="str">
        <f t="shared" si="3"/>
        <v/>
      </c>
      <c r="V32" s="214" t="str">
        <f t="shared" si="4"/>
        <v/>
      </c>
      <c r="W32" s="213" t="str">
        <f t="shared" si="5"/>
        <v/>
      </c>
      <c r="X32" s="215"/>
      <c r="Y32" s="212" t="str">
        <f t="shared" si="9"/>
        <v/>
      </c>
      <c r="Z32" s="213" t="str">
        <f t="shared" si="6"/>
        <v/>
      </c>
      <c r="AA32" s="214" t="str">
        <f t="shared" si="7"/>
        <v/>
      </c>
      <c r="AB32" s="219" t="str">
        <f t="shared" si="13"/>
        <v/>
      </c>
      <c r="AC32" s="221" t="str">
        <f>IFERROR(IF(VLOOKUP(H32,SaKo!D:J,6,FALSE)&lt;10,CONCATENATE("0",VLOOKUP(H32,SaKo!D:J,6,FALSE)),VLOOKUP(H32,SaKo!D:J,6,FALSE)),"")</f>
        <v/>
      </c>
      <c r="AD32" s="221"/>
    </row>
    <row r="33" spans="1:30" ht="23.1" customHeight="1" x14ac:dyDescent="0.2">
      <c r="A33" s="219" t="str">
        <f t="shared" si="8"/>
        <v/>
      </c>
      <c r="B33" s="207" t="str">
        <f t="shared" si="12"/>
        <v/>
      </c>
      <c r="C33" s="71">
        <v>14</v>
      </c>
      <c r="D33" s="72"/>
      <c r="E33" s="263"/>
      <c r="F33" s="263"/>
      <c r="G33" s="73"/>
      <c r="H33" s="68" t="str">
        <f t="shared" si="1"/>
        <v/>
      </c>
      <c r="I33" s="69"/>
      <c r="J33" s="138"/>
      <c r="K33" s="74" t="str">
        <f t="shared" si="11"/>
        <v/>
      </c>
      <c r="L33" s="57"/>
      <c r="M33" s="146"/>
      <c r="N33" s="57"/>
      <c r="O33" s="57"/>
      <c r="P33" s="57"/>
      <c r="Q33" s="57"/>
      <c r="R33" s="216"/>
      <c r="S33" s="210"/>
      <c r="T33" s="213" t="str">
        <f t="shared" si="2"/>
        <v/>
      </c>
      <c r="U33" s="213" t="str">
        <f t="shared" si="3"/>
        <v/>
      </c>
      <c r="V33" s="214" t="str">
        <f t="shared" si="4"/>
        <v/>
      </c>
      <c r="W33" s="213" t="str">
        <f t="shared" si="5"/>
        <v/>
      </c>
      <c r="X33" s="215"/>
      <c r="Y33" s="212" t="str">
        <f t="shared" si="9"/>
        <v/>
      </c>
      <c r="Z33" s="213" t="str">
        <f t="shared" si="6"/>
        <v/>
      </c>
      <c r="AA33" s="214" t="str">
        <f t="shared" si="7"/>
        <v/>
      </c>
      <c r="AB33" s="219" t="str">
        <f t="shared" si="13"/>
        <v/>
      </c>
      <c r="AC33" s="221" t="str">
        <f>IFERROR(IF(VLOOKUP(H33,SaKo!D:J,6,FALSE)&lt;10,CONCATENATE("0",VLOOKUP(H33,SaKo!D:J,6,FALSE)),VLOOKUP(H33,SaKo!D:J,6,FALSE)),"")</f>
        <v/>
      </c>
      <c r="AD33" s="221"/>
    </row>
    <row r="34" spans="1:30" ht="23.1" customHeight="1" x14ac:dyDescent="0.2">
      <c r="A34" s="219" t="str">
        <f t="shared" si="8"/>
        <v/>
      </c>
      <c r="B34" s="207" t="str">
        <f t="shared" si="12"/>
        <v/>
      </c>
      <c r="C34" s="71">
        <v>15</v>
      </c>
      <c r="D34" s="72"/>
      <c r="E34" s="263"/>
      <c r="F34" s="263"/>
      <c r="G34" s="73"/>
      <c r="H34" s="68" t="str">
        <f t="shared" si="1"/>
        <v/>
      </c>
      <c r="I34" s="69"/>
      <c r="J34" s="138"/>
      <c r="K34" s="74" t="str">
        <f t="shared" si="11"/>
        <v/>
      </c>
      <c r="L34" s="57"/>
      <c r="M34" s="146"/>
      <c r="N34" s="57"/>
      <c r="O34" s="57"/>
      <c r="P34" s="57"/>
      <c r="Q34" s="57"/>
      <c r="R34" s="216"/>
      <c r="S34" s="210"/>
      <c r="T34" s="213" t="str">
        <f t="shared" si="2"/>
        <v/>
      </c>
      <c r="U34" s="213" t="str">
        <f t="shared" si="3"/>
        <v/>
      </c>
      <c r="V34" s="214" t="str">
        <f t="shared" si="4"/>
        <v/>
      </c>
      <c r="W34" s="213" t="str">
        <f t="shared" si="5"/>
        <v/>
      </c>
      <c r="X34" s="215"/>
      <c r="Y34" s="212" t="str">
        <f t="shared" si="9"/>
        <v/>
      </c>
      <c r="Z34" s="213" t="str">
        <f t="shared" si="6"/>
        <v/>
      </c>
      <c r="AA34" s="214" t="str">
        <f t="shared" si="7"/>
        <v/>
      </c>
      <c r="AB34" s="219" t="str">
        <f t="shared" si="13"/>
        <v/>
      </c>
      <c r="AC34" s="221" t="str">
        <f>IFERROR(IF(VLOOKUP(H34,SaKo!D:J,6,FALSE)&lt;10,CONCATENATE("0",VLOOKUP(H34,SaKo!D:J,6,FALSE)),VLOOKUP(H34,SaKo!D:J,6,FALSE)),"")</f>
        <v/>
      </c>
      <c r="AD34" s="221"/>
    </row>
    <row r="35" spans="1:30" ht="23.1" customHeight="1" x14ac:dyDescent="0.2">
      <c r="A35" s="219" t="str">
        <f t="shared" si="8"/>
        <v/>
      </c>
      <c r="B35" s="207" t="str">
        <f t="shared" si="12"/>
        <v/>
      </c>
      <c r="C35" s="71">
        <v>16</v>
      </c>
      <c r="D35" s="72"/>
      <c r="E35" s="263"/>
      <c r="F35" s="263"/>
      <c r="G35" s="73"/>
      <c r="H35" s="68" t="str">
        <f t="shared" si="1"/>
        <v/>
      </c>
      <c r="I35" s="69"/>
      <c r="J35" s="138"/>
      <c r="K35" s="74" t="str">
        <f t="shared" si="11"/>
        <v/>
      </c>
      <c r="L35" s="57"/>
      <c r="M35" s="146"/>
      <c r="N35" s="57"/>
      <c r="O35" s="57"/>
      <c r="P35" s="57"/>
      <c r="Q35" s="57"/>
      <c r="R35" s="216"/>
      <c r="S35" s="210"/>
      <c r="T35" s="213" t="str">
        <f t="shared" si="2"/>
        <v/>
      </c>
      <c r="U35" s="213" t="str">
        <f t="shared" si="3"/>
        <v/>
      </c>
      <c r="V35" s="214" t="str">
        <f t="shared" si="4"/>
        <v/>
      </c>
      <c r="W35" s="213" t="str">
        <f t="shared" si="5"/>
        <v/>
      </c>
      <c r="X35" s="215"/>
      <c r="Y35" s="212" t="str">
        <f t="shared" si="9"/>
        <v/>
      </c>
      <c r="Z35" s="213" t="str">
        <f t="shared" si="6"/>
        <v/>
      </c>
      <c r="AA35" s="214" t="str">
        <f t="shared" si="7"/>
        <v/>
      </c>
      <c r="AB35" s="219" t="str">
        <f t="shared" si="13"/>
        <v/>
      </c>
      <c r="AC35" s="221" t="str">
        <f>IFERROR(IF(VLOOKUP(H35,SaKo!D:J,6,FALSE)&lt;10,CONCATENATE("0",VLOOKUP(H35,SaKo!D:J,6,FALSE)),VLOOKUP(H35,SaKo!D:J,6,FALSE)),"")</f>
        <v/>
      </c>
      <c r="AD35" s="221"/>
    </row>
    <row r="36" spans="1:30" ht="23.1" customHeight="1" x14ac:dyDescent="0.2">
      <c r="A36" s="219" t="str">
        <f t="shared" si="8"/>
        <v/>
      </c>
      <c r="B36" s="207" t="str">
        <f t="shared" si="12"/>
        <v/>
      </c>
      <c r="C36" s="71">
        <v>17</v>
      </c>
      <c r="D36" s="72"/>
      <c r="E36" s="263"/>
      <c r="F36" s="263"/>
      <c r="G36" s="73"/>
      <c r="H36" s="68" t="str">
        <f t="shared" si="1"/>
        <v/>
      </c>
      <c r="I36" s="69"/>
      <c r="J36" s="138"/>
      <c r="K36" s="74" t="str">
        <f t="shared" si="11"/>
        <v/>
      </c>
      <c r="L36" s="57"/>
      <c r="M36" s="146"/>
      <c r="N36" s="57"/>
      <c r="O36" s="57"/>
      <c r="P36" s="57"/>
      <c r="Q36" s="57"/>
      <c r="R36" s="216"/>
      <c r="S36" s="210"/>
      <c r="T36" s="213" t="str">
        <f t="shared" si="2"/>
        <v/>
      </c>
      <c r="U36" s="213" t="str">
        <f t="shared" si="3"/>
        <v/>
      </c>
      <c r="V36" s="214" t="str">
        <f t="shared" si="4"/>
        <v/>
      </c>
      <c r="W36" s="213" t="str">
        <f t="shared" si="5"/>
        <v/>
      </c>
      <c r="X36" s="215"/>
      <c r="Y36" s="212" t="str">
        <f t="shared" si="9"/>
        <v/>
      </c>
      <c r="Z36" s="213" t="str">
        <f t="shared" si="6"/>
        <v/>
      </c>
      <c r="AA36" s="214" t="str">
        <f t="shared" si="7"/>
        <v/>
      </c>
      <c r="AB36" s="219" t="str">
        <f t="shared" si="13"/>
        <v/>
      </c>
      <c r="AC36" s="221" t="str">
        <f>IFERROR(IF(VLOOKUP(H36,SaKo!D:J,6,FALSE)&lt;10,CONCATENATE("0",VLOOKUP(H36,SaKo!D:J,6,FALSE)),VLOOKUP(H36,SaKo!D:J,6,FALSE)),"")</f>
        <v/>
      </c>
      <c r="AD36" s="221"/>
    </row>
    <row r="37" spans="1:30" ht="23.1" customHeight="1" x14ac:dyDescent="0.2">
      <c r="A37" s="219" t="str">
        <f t="shared" si="8"/>
        <v/>
      </c>
      <c r="B37" s="207" t="str">
        <f t="shared" si="12"/>
        <v/>
      </c>
      <c r="C37" s="71">
        <v>18</v>
      </c>
      <c r="D37" s="72"/>
      <c r="E37" s="263"/>
      <c r="F37" s="263"/>
      <c r="G37" s="73"/>
      <c r="H37" s="68" t="str">
        <f t="shared" si="1"/>
        <v/>
      </c>
      <c r="I37" s="69"/>
      <c r="J37" s="138"/>
      <c r="K37" s="74" t="str">
        <f t="shared" si="11"/>
        <v/>
      </c>
      <c r="L37" s="57"/>
      <c r="M37" s="146"/>
      <c r="N37" s="57"/>
      <c r="O37" s="57"/>
      <c r="P37" s="57"/>
      <c r="Q37" s="57"/>
      <c r="R37" s="216"/>
      <c r="S37" s="210"/>
      <c r="T37" s="213" t="str">
        <f t="shared" si="2"/>
        <v/>
      </c>
      <c r="U37" s="213" t="str">
        <f t="shared" si="3"/>
        <v/>
      </c>
      <c r="V37" s="214" t="str">
        <f t="shared" si="4"/>
        <v/>
      </c>
      <c r="W37" s="213" t="str">
        <f t="shared" si="5"/>
        <v/>
      </c>
      <c r="X37" s="215"/>
      <c r="Y37" s="212" t="str">
        <f t="shared" si="9"/>
        <v/>
      </c>
      <c r="Z37" s="213" t="str">
        <f t="shared" si="6"/>
        <v/>
      </c>
      <c r="AA37" s="214" t="str">
        <f t="shared" si="7"/>
        <v/>
      </c>
      <c r="AB37" s="219" t="str">
        <f t="shared" si="13"/>
        <v/>
      </c>
      <c r="AC37" s="221" t="str">
        <f>IFERROR(IF(VLOOKUP(H37,SaKo!D:J,6,FALSE)&lt;10,CONCATENATE("0",VLOOKUP(H37,SaKo!D:J,6,FALSE)),VLOOKUP(H37,SaKo!D:J,6,FALSE)),"")</f>
        <v/>
      </c>
      <c r="AD37" s="221"/>
    </row>
    <row r="38" spans="1:30" ht="23.1" customHeight="1" x14ac:dyDescent="0.2">
      <c r="A38" s="219" t="str">
        <f t="shared" si="8"/>
        <v/>
      </c>
      <c r="B38" s="207" t="str">
        <f t="shared" si="12"/>
        <v/>
      </c>
      <c r="C38" s="71">
        <v>19</v>
      </c>
      <c r="D38" s="72"/>
      <c r="E38" s="263"/>
      <c r="F38" s="263"/>
      <c r="G38" s="73"/>
      <c r="H38" s="68" t="str">
        <f t="shared" si="1"/>
        <v/>
      </c>
      <c r="I38" s="69"/>
      <c r="J38" s="138"/>
      <c r="K38" s="74" t="str">
        <f t="shared" si="11"/>
        <v/>
      </c>
      <c r="L38" s="57"/>
      <c r="M38" s="146"/>
      <c r="N38" s="57"/>
      <c r="O38" s="57"/>
      <c r="P38" s="57"/>
      <c r="Q38" s="57"/>
      <c r="R38" s="216"/>
      <c r="S38" s="210"/>
      <c r="T38" s="213" t="str">
        <f t="shared" si="2"/>
        <v/>
      </c>
      <c r="U38" s="213" t="str">
        <f t="shared" si="3"/>
        <v/>
      </c>
      <c r="V38" s="214" t="str">
        <f t="shared" si="4"/>
        <v/>
      </c>
      <c r="W38" s="213" t="str">
        <f t="shared" si="5"/>
        <v/>
      </c>
      <c r="X38" s="215"/>
      <c r="Y38" s="212" t="str">
        <f t="shared" si="9"/>
        <v/>
      </c>
      <c r="Z38" s="213" t="str">
        <f t="shared" si="6"/>
        <v/>
      </c>
      <c r="AA38" s="214" t="str">
        <f t="shared" si="7"/>
        <v/>
      </c>
      <c r="AB38" s="219" t="str">
        <f t="shared" si="13"/>
        <v/>
      </c>
      <c r="AC38" s="221" t="str">
        <f>IFERROR(IF(VLOOKUP(H38,SaKo!D:J,6,FALSE)&lt;10,CONCATENATE("0",VLOOKUP(H38,SaKo!D:J,6,FALSE)),VLOOKUP(H38,SaKo!D:J,6,FALSE)),"")</f>
        <v/>
      </c>
      <c r="AD38" s="221"/>
    </row>
    <row r="39" spans="1:30" ht="23.1" customHeight="1" x14ac:dyDescent="0.2">
      <c r="A39" s="219" t="str">
        <f t="shared" si="8"/>
        <v/>
      </c>
      <c r="B39" s="207" t="str">
        <f t="shared" si="12"/>
        <v/>
      </c>
      <c r="C39" s="71">
        <v>20</v>
      </c>
      <c r="D39" s="72"/>
      <c r="E39" s="263"/>
      <c r="F39" s="263"/>
      <c r="G39" s="73"/>
      <c r="H39" s="68" t="str">
        <f t="shared" si="1"/>
        <v/>
      </c>
      <c r="I39" s="69"/>
      <c r="J39" s="138"/>
      <c r="K39" s="74" t="str">
        <f t="shared" si="11"/>
        <v/>
      </c>
      <c r="L39" s="57"/>
      <c r="M39" s="146"/>
      <c r="N39" s="57"/>
      <c r="O39" s="57"/>
      <c r="P39" s="57"/>
      <c r="Q39" s="57"/>
      <c r="R39" s="216"/>
      <c r="S39" s="210"/>
      <c r="T39" s="213" t="str">
        <f t="shared" si="2"/>
        <v/>
      </c>
      <c r="U39" s="213" t="str">
        <f t="shared" si="3"/>
        <v/>
      </c>
      <c r="V39" s="214" t="str">
        <f t="shared" si="4"/>
        <v/>
      </c>
      <c r="W39" s="213" t="str">
        <f t="shared" si="5"/>
        <v/>
      </c>
      <c r="X39" s="215"/>
      <c r="Y39" s="212" t="str">
        <f t="shared" si="9"/>
        <v/>
      </c>
      <c r="Z39" s="213" t="str">
        <f t="shared" si="6"/>
        <v/>
      </c>
      <c r="AA39" s="214" t="str">
        <f t="shared" si="7"/>
        <v/>
      </c>
      <c r="AB39" s="219" t="str">
        <f t="shared" si="13"/>
        <v/>
      </c>
      <c r="AC39" s="221" t="str">
        <f>IFERROR(IF(VLOOKUP(H39,SaKo!D:J,6,FALSE)&lt;10,CONCATENATE("0",VLOOKUP(H39,SaKo!D:J,6,FALSE)),VLOOKUP(H39,SaKo!D:J,6,FALSE)),"")</f>
        <v/>
      </c>
      <c r="AD39" s="221"/>
    </row>
    <row r="40" spans="1:30" ht="23.1" customHeight="1" x14ac:dyDescent="0.2">
      <c r="A40" s="219" t="str">
        <f t="shared" si="8"/>
        <v/>
      </c>
      <c r="B40" s="207" t="str">
        <f t="shared" si="12"/>
        <v/>
      </c>
      <c r="C40" s="71">
        <v>21</v>
      </c>
      <c r="D40" s="72"/>
      <c r="E40" s="263"/>
      <c r="F40" s="263"/>
      <c r="G40" s="73"/>
      <c r="H40" s="68" t="str">
        <f t="shared" si="1"/>
        <v/>
      </c>
      <c r="I40" s="69"/>
      <c r="J40" s="138"/>
      <c r="K40" s="74" t="str">
        <f t="shared" si="11"/>
        <v/>
      </c>
      <c r="L40" s="57"/>
      <c r="M40" s="146"/>
      <c r="N40" s="57"/>
      <c r="O40" s="57"/>
      <c r="P40" s="57"/>
      <c r="Q40" s="57"/>
      <c r="R40" s="216"/>
      <c r="S40" s="210"/>
      <c r="T40" s="213" t="str">
        <f t="shared" si="2"/>
        <v/>
      </c>
      <c r="U40" s="213" t="str">
        <f t="shared" si="3"/>
        <v/>
      </c>
      <c r="V40" s="214" t="str">
        <f t="shared" si="4"/>
        <v/>
      </c>
      <c r="W40" s="213" t="str">
        <f t="shared" si="5"/>
        <v/>
      </c>
      <c r="X40" s="215"/>
      <c r="Y40" s="212" t="str">
        <f t="shared" si="9"/>
        <v/>
      </c>
      <c r="Z40" s="213" t="str">
        <f t="shared" si="6"/>
        <v/>
      </c>
      <c r="AA40" s="214" t="str">
        <f t="shared" si="7"/>
        <v/>
      </c>
      <c r="AB40" s="219" t="str">
        <f t="shared" si="13"/>
        <v/>
      </c>
      <c r="AC40" s="221" t="str">
        <f>IFERROR(IF(VLOOKUP(H40,SaKo!D:J,6,FALSE)&lt;10,CONCATENATE("0",VLOOKUP(H40,SaKo!D:J,6,FALSE)),VLOOKUP(H40,SaKo!D:J,6,FALSE)),"")</f>
        <v/>
      </c>
      <c r="AD40" s="221"/>
    </row>
    <row r="41" spans="1:30" ht="23.1" customHeight="1" x14ac:dyDescent="0.2">
      <c r="A41" s="219" t="str">
        <f t="shared" si="8"/>
        <v/>
      </c>
      <c r="B41" s="207" t="str">
        <f t="shared" si="12"/>
        <v/>
      </c>
      <c r="C41" s="71">
        <v>22</v>
      </c>
      <c r="D41" s="72"/>
      <c r="E41" s="263"/>
      <c r="F41" s="263"/>
      <c r="G41" s="73"/>
      <c r="H41" s="68" t="str">
        <f t="shared" si="1"/>
        <v/>
      </c>
      <c r="I41" s="69"/>
      <c r="J41" s="138"/>
      <c r="K41" s="74" t="str">
        <f t="shared" si="11"/>
        <v/>
      </c>
      <c r="L41" s="57"/>
      <c r="M41" s="146"/>
      <c r="N41" s="57"/>
      <c r="O41" s="57"/>
      <c r="P41" s="57"/>
      <c r="Q41" s="57"/>
      <c r="R41" s="216"/>
      <c r="S41" s="210"/>
      <c r="T41" s="213" t="str">
        <f t="shared" si="2"/>
        <v/>
      </c>
      <c r="U41" s="213" t="str">
        <f t="shared" si="3"/>
        <v/>
      </c>
      <c r="V41" s="214" t="str">
        <f t="shared" si="4"/>
        <v/>
      </c>
      <c r="W41" s="213" t="str">
        <f t="shared" si="5"/>
        <v/>
      </c>
      <c r="X41" s="215"/>
      <c r="Y41" s="212" t="str">
        <f t="shared" si="9"/>
        <v/>
      </c>
      <c r="Z41" s="213" t="str">
        <f t="shared" si="6"/>
        <v/>
      </c>
      <c r="AA41" s="214" t="str">
        <f t="shared" si="7"/>
        <v/>
      </c>
      <c r="AB41" s="219" t="str">
        <f t="shared" si="13"/>
        <v/>
      </c>
      <c r="AC41" s="221" t="str">
        <f>IFERROR(IF(VLOOKUP(H41,SaKo!D:J,6,FALSE)&lt;10,CONCATENATE("0",VLOOKUP(H41,SaKo!D:J,6,FALSE)),VLOOKUP(H41,SaKo!D:J,6,FALSE)),"")</f>
        <v/>
      </c>
      <c r="AD41" s="221"/>
    </row>
    <row r="42" spans="1:30" ht="23.1" customHeight="1" x14ac:dyDescent="0.2">
      <c r="A42" s="219" t="str">
        <f t="shared" si="8"/>
        <v/>
      </c>
      <c r="B42" s="207" t="str">
        <f t="shared" si="12"/>
        <v/>
      </c>
      <c r="C42" s="71">
        <v>23</v>
      </c>
      <c r="D42" s="72"/>
      <c r="E42" s="263"/>
      <c r="F42" s="263"/>
      <c r="G42" s="73"/>
      <c r="H42" s="68" t="str">
        <f t="shared" si="1"/>
        <v/>
      </c>
      <c r="I42" s="69"/>
      <c r="J42" s="138"/>
      <c r="K42" s="74" t="str">
        <f t="shared" si="11"/>
        <v/>
      </c>
      <c r="L42" s="57"/>
      <c r="M42" s="146"/>
      <c r="N42" s="57"/>
      <c r="O42" s="57"/>
      <c r="P42" s="57"/>
      <c r="Q42" s="57"/>
      <c r="R42" s="216"/>
      <c r="S42" s="210"/>
      <c r="T42" s="213" t="str">
        <f t="shared" si="2"/>
        <v/>
      </c>
      <c r="U42" s="213" t="str">
        <f t="shared" si="3"/>
        <v/>
      </c>
      <c r="V42" s="214" t="str">
        <f t="shared" si="4"/>
        <v/>
      </c>
      <c r="W42" s="213" t="str">
        <f t="shared" si="5"/>
        <v/>
      </c>
      <c r="X42" s="215"/>
      <c r="Y42" s="212" t="str">
        <f t="shared" si="9"/>
        <v/>
      </c>
      <c r="Z42" s="213" t="str">
        <f t="shared" si="6"/>
        <v/>
      </c>
      <c r="AA42" s="214" t="str">
        <f t="shared" si="7"/>
        <v/>
      </c>
      <c r="AB42" s="219" t="str">
        <f t="shared" si="13"/>
        <v/>
      </c>
      <c r="AC42" s="221" t="str">
        <f>IFERROR(IF(VLOOKUP(H42,SaKo!D:J,6,FALSE)&lt;10,CONCATENATE("0",VLOOKUP(H42,SaKo!D:J,6,FALSE)),VLOOKUP(H42,SaKo!D:J,6,FALSE)),"")</f>
        <v/>
      </c>
      <c r="AD42" s="221"/>
    </row>
    <row r="43" spans="1:30" ht="23.1" customHeight="1" x14ac:dyDescent="0.2">
      <c r="A43" s="219" t="str">
        <f t="shared" si="8"/>
        <v/>
      </c>
      <c r="B43" s="207"/>
      <c r="C43" s="71">
        <v>24</v>
      </c>
      <c r="D43" s="72"/>
      <c r="E43" s="263"/>
      <c r="F43" s="263"/>
      <c r="G43" s="73"/>
      <c r="H43" s="68" t="str">
        <f t="shared" si="1"/>
        <v/>
      </c>
      <c r="I43" s="69"/>
      <c r="J43" s="138"/>
      <c r="K43" s="74" t="str">
        <f t="shared" si="11"/>
        <v/>
      </c>
      <c r="L43" s="57"/>
      <c r="M43" s="146"/>
      <c r="N43" s="57"/>
      <c r="O43" s="57"/>
      <c r="P43" s="57"/>
      <c r="Q43" s="57"/>
      <c r="R43" s="216"/>
      <c r="S43" s="210"/>
      <c r="T43" s="213" t="str">
        <f t="shared" si="2"/>
        <v/>
      </c>
      <c r="U43" s="213" t="str">
        <f t="shared" si="3"/>
        <v/>
      </c>
      <c r="V43" s="214" t="str">
        <f t="shared" si="4"/>
        <v/>
      </c>
      <c r="W43" s="213" t="str">
        <f t="shared" si="5"/>
        <v/>
      </c>
      <c r="X43" s="215"/>
      <c r="Y43" s="212" t="str">
        <f t="shared" si="9"/>
        <v/>
      </c>
      <c r="Z43" s="213" t="str">
        <f t="shared" si="6"/>
        <v/>
      </c>
      <c r="AA43" s="214" t="str">
        <f t="shared" si="7"/>
        <v/>
      </c>
      <c r="AB43" s="219" t="str">
        <f t="shared" si="13"/>
        <v/>
      </c>
      <c r="AC43" s="221" t="str">
        <f>IFERROR(IF(VLOOKUP(H43,SaKo!D:J,6,FALSE)&lt;10,CONCATENATE("0",VLOOKUP(H43,SaKo!D:J,6,FALSE)),VLOOKUP(H43,SaKo!D:J,6,FALSE)),"")</f>
        <v/>
      </c>
      <c r="AD43" s="221"/>
    </row>
    <row r="44" spans="1:30" ht="23.1" customHeight="1" x14ac:dyDescent="0.2">
      <c r="A44" s="219" t="str">
        <f t="shared" si="8"/>
        <v/>
      </c>
      <c r="B44" s="207"/>
      <c r="C44" s="71">
        <v>25</v>
      </c>
      <c r="D44" s="72"/>
      <c r="E44" s="263"/>
      <c r="F44" s="263"/>
      <c r="G44" s="73"/>
      <c r="H44" s="68" t="str">
        <f t="shared" si="1"/>
        <v/>
      </c>
      <c r="I44" s="69"/>
      <c r="J44" s="138"/>
      <c r="K44" s="74" t="str">
        <f t="shared" si="11"/>
        <v/>
      </c>
      <c r="L44" s="57"/>
      <c r="M44" s="146"/>
      <c r="N44" s="57"/>
      <c r="O44" s="57"/>
      <c r="P44" s="57"/>
      <c r="Q44" s="57"/>
      <c r="R44" s="216"/>
      <c r="S44" s="210"/>
      <c r="T44" s="213" t="str">
        <f t="shared" si="2"/>
        <v/>
      </c>
      <c r="U44" s="213" t="str">
        <f t="shared" si="3"/>
        <v/>
      </c>
      <c r="V44" s="214" t="str">
        <f t="shared" si="4"/>
        <v/>
      </c>
      <c r="W44" s="213" t="str">
        <f t="shared" si="5"/>
        <v/>
      </c>
      <c r="X44" s="215"/>
      <c r="Y44" s="212" t="str">
        <f t="shared" si="9"/>
        <v/>
      </c>
      <c r="Z44" s="213" t="str">
        <f t="shared" si="6"/>
        <v/>
      </c>
      <c r="AA44" s="214" t="str">
        <f t="shared" si="7"/>
        <v/>
      </c>
      <c r="AB44" s="219" t="str">
        <f t="shared" si="13"/>
        <v/>
      </c>
      <c r="AC44" s="221" t="str">
        <f>IFERROR(IF(VLOOKUP(H44,SaKo!D:J,6,FALSE)&lt;10,CONCATENATE("0",VLOOKUP(H44,SaKo!D:J,6,FALSE)),VLOOKUP(H44,SaKo!D:J,6,FALSE)),"")</f>
        <v/>
      </c>
      <c r="AD44" s="221"/>
    </row>
    <row r="45" spans="1:30" ht="23.1" customHeight="1" x14ac:dyDescent="0.2">
      <c r="A45" s="219" t="str">
        <f t="shared" si="8"/>
        <v/>
      </c>
      <c r="B45" s="207"/>
      <c r="C45" s="71">
        <v>26</v>
      </c>
      <c r="D45" s="72"/>
      <c r="E45" s="263"/>
      <c r="F45" s="263"/>
      <c r="G45" s="73"/>
      <c r="H45" s="68" t="str">
        <f t="shared" si="1"/>
        <v/>
      </c>
      <c r="I45" s="69"/>
      <c r="J45" s="138"/>
      <c r="K45" s="74" t="str">
        <f t="shared" si="11"/>
        <v/>
      </c>
      <c r="L45" s="57"/>
      <c r="M45" s="146"/>
      <c r="N45" s="57"/>
      <c r="O45" s="57"/>
      <c r="P45" s="57"/>
      <c r="Q45" s="57"/>
      <c r="R45" s="216"/>
      <c r="S45" s="210"/>
      <c r="T45" s="213" t="str">
        <f t="shared" si="2"/>
        <v/>
      </c>
      <c r="U45" s="213" t="str">
        <f t="shared" si="3"/>
        <v/>
      </c>
      <c r="V45" s="214" t="str">
        <f t="shared" si="4"/>
        <v/>
      </c>
      <c r="W45" s="213" t="str">
        <f t="shared" si="5"/>
        <v/>
      </c>
      <c r="X45" s="215"/>
      <c r="Y45" s="212" t="str">
        <f t="shared" si="9"/>
        <v/>
      </c>
      <c r="Z45" s="213" t="str">
        <f t="shared" si="6"/>
        <v/>
      </c>
      <c r="AA45" s="214" t="str">
        <f t="shared" si="7"/>
        <v/>
      </c>
      <c r="AB45" s="219" t="str">
        <f t="shared" si="13"/>
        <v/>
      </c>
      <c r="AC45" s="221" t="str">
        <f>IFERROR(IF(VLOOKUP(H45,SaKo!D:J,6,FALSE)&lt;10,CONCATENATE("0",VLOOKUP(H45,SaKo!D:J,6,FALSE)),VLOOKUP(H45,SaKo!D:J,6,FALSE)),"")</f>
        <v/>
      </c>
      <c r="AD45" s="221"/>
    </row>
    <row r="46" spans="1:30" ht="23.1" customHeight="1" x14ac:dyDescent="0.2">
      <c r="A46" s="219" t="str">
        <f t="shared" si="8"/>
        <v/>
      </c>
      <c r="B46" s="207"/>
      <c r="C46" s="71">
        <v>27</v>
      </c>
      <c r="D46" s="72"/>
      <c r="E46" s="263"/>
      <c r="F46" s="263"/>
      <c r="G46" s="73"/>
      <c r="H46" s="68" t="str">
        <f t="shared" si="1"/>
        <v/>
      </c>
      <c r="I46" s="69"/>
      <c r="J46" s="138"/>
      <c r="K46" s="74" t="str">
        <f t="shared" si="11"/>
        <v/>
      </c>
      <c r="L46" s="57"/>
      <c r="M46" s="146"/>
      <c r="N46" s="57"/>
      <c r="O46" s="57"/>
      <c r="P46" s="57"/>
      <c r="Q46" s="57"/>
      <c r="R46" s="216"/>
      <c r="S46" s="210"/>
      <c r="T46" s="213" t="str">
        <f t="shared" si="2"/>
        <v/>
      </c>
      <c r="U46" s="213" t="str">
        <f t="shared" si="3"/>
        <v/>
      </c>
      <c r="V46" s="214" t="str">
        <f t="shared" si="4"/>
        <v/>
      </c>
      <c r="W46" s="213" t="str">
        <f t="shared" si="5"/>
        <v/>
      </c>
      <c r="X46" s="215"/>
      <c r="Y46" s="212" t="str">
        <f t="shared" si="9"/>
        <v/>
      </c>
      <c r="Z46" s="213" t="str">
        <f t="shared" si="6"/>
        <v/>
      </c>
      <c r="AA46" s="214" t="str">
        <f t="shared" si="7"/>
        <v/>
      </c>
      <c r="AB46" s="219" t="str">
        <f t="shared" si="13"/>
        <v/>
      </c>
      <c r="AC46" s="221" t="str">
        <f>IFERROR(IF(VLOOKUP(H46,SaKo!D:J,6,FALSE)&lt;10,CONCATENATE("0",VLOOKUP(H46,SaKo!D:J,6,FALSE)),VLOOKUP(H46,SaKo!D:J,6,FALSE)),"")</f>
        <v/>
      </c>
      <c r="AD46" s="221"/>
    </row>
    <row r="47" spans="1:30" ht="23.1" customHeight="1" x14ac:dyDescent="0.2">
      <c r="A47" s="219" t="str">
        <f t="shared" si="8"/>
        <v/>
      </c>
      <c r="B47" s="207"/>
      <c r="C47" s="71">
        <v>28</v>
      </c>
      <c r="D47" s="72"/>
      <c r="E47" s="263"/>
      <c r="F47" s="263"/>
      <c r="G47" s="73"/>
      <c r="H47" s="68" t="str">
        <f t="shared" si="1"/>
        <v/>
      </c>
      <c r="I47" s="69"/>
      <c r="J47" s="138"/>
      <c r="K47" s="74" t="str">
        <f t="shared" si="11"/>
        <v/>
      </c>
      <c r="L47" s="57"/>
      <c r="M47" s="146"/>
      <c r="N47" s="57"/>
      <c r="O47" s="57"/>
      <c r="P47" s="57"/>
      <c r="Q47" s="57"/>
      <c r="R47" s="216"/>
      <c r="S47" s="210"/>
      <c r="T47" s="213" t="str">
        <f t="shared" si="2"/>
        <v/>
      </c>
      <c r="U47" s="213" t="str">
        <f t="shared" si="3"/>
        <v/>
      </c>
      <c r="V47" s="214" t="str">
        <f t="shared" si="4"/>
        <v/>
      </c>
      <c r="W47" s="213" t="str">
        <f t="shared" si="5"/>
        <v/>
      </c>
      <c r="X47" s="215"/>
      <c r="Y47" s="212" t="str">
        <f t="shared" si="9"/>
        <v/>
      </c>
      <c r="Z47" s="213" t="str">
        <f t="shared" si="6"/>
        <v/>
      </c>
      <c r="AA47" s="214" t="str">
        <f t="shared" si="7"/>
        <v/>
      </c>
      <c r="AB47" s="219" t="str">
        <f t="shared" si="13"/>
        <v/>
      </c>
      <c r="AC47" s="221" t="str">
        <f>IFERROR(IF(VLOOKUP(H47,SaKo!D:J,6,FALSE)&lt;10,CONCATENATE("0",VLOOKUP(H47,SaKo!D:J,6,FALSE)),VLOOKUP(H47,SaKo!D:J,6,FALSE)),"")</f>
        <v/>
      </c>
      <c r="AD47" s="221"/>
    </row>
    <row r="48" spans="1:30" ht="23.1" customHeight="1" x14ac:dyDescent="0.2">
      <c r="A48" s="219" t="str">
        <f t="shared" si="8"/>
        <v/>
      </c>
      <c r="B48" s="207"/>
      <c r="C48" s="71">
        <v>29</v>
      </c>
      <c r="D48" s="72"/>
      <c r="E48" s="263"/>
      <c r="F48" s="263"/>
      <c r="G48" s="73"/>
      <c r="H48" s="68" t="str">
        <f t="shared" si="1"/>
        <v/>
      </c>
      <c r="I48" s="69"/>
      <c r="J48" s="138"/>
      <c r="K48" s="74" t="str">
        <f t="shared" si="11"/>
        <v/>
      </c>
      <c r="L48" s="57"/>
      <c r="M48" s="146"/>
      <c r="N48" s="57"/>
      <c r="O48" s="57"/>
      <c r="P48" s="57"/>
      <c r="Q48" s="57"/>
      <c r="R48" s="216"/>
      <c r="S48" s="210"/>
      <c r="T48" s="213" t="str">
        <f t="shared" si="2"/>
        <v/>
      </c>
      <c r="U48" s="213" t="str">
        <f t="shared" si="3"/>
        <v/>
      </c>
      <c r="V48" s="214" t="str">
        <f t="shared" si="4"/>
        <v/>
      </c>
      <c r="W48" s="213" t="str">
        <f t="shared" si="5"/>
        <v/>
      </c>
      <c r="X48" s="215"/>
      <c r="Y48" s="212" t="str">
        <f t="shared" si="9"/>
        <v/>
      </c>
      <c r="Z48" s="213" t="str">
        <f t="shared" si="6"/>
        <v/>
      </c>
      <c r="AA48" s="214" t="str">
        <f t="shared" si="7"/>
        <v/>
      </c>
      <c r="AB48" s="219" t="str">
        <f t="shared" si="13"/>
        <v/>
      </c>
      <c r="AC48" s="221" t="str">
        <f>IFERROR(IF(VLOOKUP(H48,SaKo!D:J,6,FALSE)&lt;10,CONCATENATE("0",VLOOKUP(H48,SaKo!D:J,6,FALSE)),VLOOKUP(H48,SaKo!D:J,6,FALSE)),"")</f>
        <v/>
      </c>
      <c r="AD48" s="221"/>
    </row>
    <row r="49" spans="1:30" ht="23.1" customHeight="1" x14ac:dyDescent="0.2">
      <c r="A49" s="219" t="str">
        <f t="shared" si="8"/>
        <v/>
      </c>
      <c r="B49" s="207"/>
      <c r="C49" s="71">
        <v>30</v>
      </c>
      <c r="D49" s="72"/>
      <c r="E49" s="263"/>
      <c r="F49" s="263"/>
      <c r="G49" s="73"/>
      <c r="H49" s="68" t="str">
        <f t="shared" si="1"/>
        <v/>
      </c>
      <c r="I49" s="69"/>
      <c r="J49" s="138"/>
      <c r="K49" s="74" t="str">
        <f t="shared" si="11"/>
        <v/>
      </c>
      <c r="L49" s="57"/>
      <c r="M49" s="146"/>
      <c r="N49" s="57"/>
      <c r="O49" s="57"/>
      <c r="P49" s="57"/>
      <c r="Q49" s="57"/>
      <c r="R49" s="216"/>
      <c r="S49" s="210"/>
      <c r="T49" s="213" t="str">
        <f t="shared" si="2"/>
        <v/>
      </c>
      <c r="U49" s="213" t="str">
        <f t="shared" si="3"/>
        <v/>
      </c>
      <c r="V49" s="214" t="str">
        <f t="shared" si="4"/>
        <v/>
      </c>
      <c r="W49" s="213" t="str">
        <f t="shared" si="5"/>
        <v/>
      </c>
      <c r="X49" s="215"/>
      <c r="Y49" s="212" t="str">
        <f t="shared" si="9"/>
        <v/>
      </c>
      <c r="Z49" s="213" t="str">
        <f t="shared" si="6"/>
        <v/>
      </c>
      <c r="AA49" s="214" t="str">
        <f t="shared" si="7"/>
        <v/>
      </c>
      <c r="AB49" s="219" t="str">
        <f t="shared" si="13"/>
        <v/>
      </c>
      <c r="AC49" s="221" t="str">
        <f>IFERROR(IF(VLOOKUP(H49,SaKo!D:J,6,FALSE)&lt;10,CONCATENATE("0",VLOOKUP(H49,SaKo!D:J,6,FALSE)),VLOOKUP(H49,SaKo!D:J,6,FALSE)),"")</f>
        <v/>
      </c>
      <c r="AD49" s="221"/>
    </row>
    <row r="50" spans="1:30" ht="23.1" customHeight="1" x14ac:dyDescent="0.2">
      <c r="A50" s="219" t="str">
        <f t="shared" si="8"/>
        <v/>
      </c>
      <c r="B50" s="207"/>
      <c r="C50" s="71">
        <v>31</v>
      </c>
      <c r="D50" s="72"/>
      <c r="E50" s="263"/>
      <c r="F50" s="263"/>
      <c r="G50" s="73"/>
      <c r="H50" s="68" t="str">
        <f t="shared" si="1"/>
        <v/>
      </c>
      <c r="I50" s="69"/>
      <c r="J50" s="138"/>
      <c r="K50" s="74" t="str">
        <f t="shared" si="11"/>
        <v/>
      </c>
      <c r="L50" s="57"/>
      <c r="M50" s="146"/>
      <c r="N50" s="57"/>
      <c r="O50" s="57"/>
      <c r="P50" s="57"/>
      <c r="Q50" s="57"/>
      <c r="R50" s="216"/>
      <c r="S50" s="210"/>
      <c r="T50" s="213" t="str">
        <f t="shared" si="2"/>
        <v/>
      </c>
      <c r="U50" s="213" t="str">
        <f t="shared" si="3"/>
        <v/>
      </c>
      <c r="V50" s="214" t="str">
        <f t="shared" si="4"/>
        <v/>
      </c>
      <c r="W50" s="213" t="str">
        <f t="shared" si="5"/>
        <v/>
      </c>
      <c r="X50" s="215"/>
      <c r="Y50" s="212" t="str">
        <f t="shared" si="9"/>
        <v/>
      </c>
      <c r="Z50" s="213" t="str">
        <f t="shared" si="6"/>
        <v/>
      </c>
      <c r="AA50" s="214" t="str">
        <f t="shared" si="7"/>
        <v/>
      </c>
      <c r="AB50" s="219" t="str">
        <f t="shared" si="13"/>
        <v/>
      </c>
      <c r="AC50" s="221" t="str">
        <f>IFERROR(IF(VLOOKUP(H50,SaKo!D:J,6,FALSE)&lt;10,CONCATENATE("0",VLOOKUP(H50,SaKo!D:J,6,FALSE)),VLOOKUP(H50,SaKo!D:J,6,FALSE)),"")</f>
        <v/>
      </c>
      <c r="AD50" s="221"/>
    </row>
    <row r="51" spans="1:30" ht="23.1" customHeight="1" x14ac:dyDescent="0.2">
      <c r="A51" s="219" t="str">
        <f t="shared" si="8"/>
        <v/>
      </c>
      <c r="B51" s="207"/>
      <c r="C51" s="71">
        <v>32</v>
      </c>
      <c r="D51" s="72"/>
      <c r="E51" s="263"/>
      <c r="F51" s="263"/>
      <c r="G51" s="73"/>
      <c r="H51" s="68" t="str">
        <f t="shared" si="1"/>
        <v/>
      </c>
      <c r="I51" s="69"/>
      <c r="J51" s="138"/>
      <c r="K51" s="74" t="str">
        <f t="shared" si="11"/>
        <v/>
      </c>
      <c r="L51" s="57"/>
      <c r="M51" s="146"/>
      <c r="N51" s="57"/>
      <c r="O51" s="57"/>
      <c r="P51" s="57"/>
      <c r="Q51" s="57"/>
      <c r="R51" s="216"/>
      <c r="S51" s="210"/>
      <c r="T51" s="213" t="str">
        <f t="shared" si="2"/>
        <v/>
      </c>
      <c r="U51" s="213" t="str">
        <f t="shared" si="3"/>
        <v/>
      </c>
      <c r="V51" s="214" t="str">
        <f t="shared" si="4"/>
        <v/>
      </c>
      <c r="W51" s="213" t="str">
        <f t="shared" si="5"/>
        <v/>
      </c>
      <c r="X51" s="215"/>
      <c r="Y51" s="212" t="str">
        <f t="shared" si="9"/>
        <v/>
      </c>
      <c r="Z51" s="213" t="str">
        <f t="shared" si="6"/>
        <v/>
      </c>
      <c r="AA51" s="214" t="str">
        <f t="shared" si="7"/>
        <v/>
      </c>
      <c r="AB51" s="219" t="str">
        <f t="shared" si="13"/>
        <v/>
      </c>
      <c r="AC51" s="221" t="str">
        <f>IFERROR(IF(VLOOKUP(H51,SaKo!D:J,6,FALSE)&lt;10,CONCATENATE("0",VLOOKUP(H51,SaKo!D:J,6,FALSE)),VLOOKUP(H51,SaKo!D:J,6,FALSE)),"")</f>
        <v/>
      </c>
      <c r="AD51" s="221"/>
    </row>
    <row r="52" spans="1:30" ht="23.1" customHeight="1" x14ac:dyDescent="0.2">
      <c r="A52" s="219" t="str">
        <f t="shared" si="8"/>
        <v/>
      </c>
      <c r="B52" s="207"/>
      <c r="C52" s="71">
        <v>33</v>
      </c>
      <c r="D52" s="72"/>
      <c r="E52" s="263"/>
      <c r="F52" s="263"/>
      <c r="G52" s="73"/>
      <c r="H52" s="68" t="str">
        <f t="shared" ref="H52:H68" si="14">IF($R52="","",IF($R52=1,VLOOKUP($S52,SaKoBereichAufwand,2,FALSE),VLOOKUP($S52,SaKoBereichErtrag,2,FALSE)))</f>
        <v/>
      </c>
      <c r="I52" s="69"/>
      <c r="J52" s="138"/>
      <c r="K52" s="74" t="str">
        <f t="shared" si="11"/>
        <v/>
      </c>
      <c r="L52" s="57"/>
      <c r="M52" s="146"/>
      <c r="N52" s="57"/>
      <c r="O52" s="57"/>
      <c r="P52" s="57"/>
      <c r="Q52" s="57"/>
      <c r="R52" s="216"/>
      <c r="S52" s="210"/>
      <c r="T52" s="213" t="str">
        <f t="shared" ref="T52:T68" si="15">IF(AND($J52&lt;&gt;"",$R52=1),IF($G52&amp;$H52="","",VALUE($H52&amp;$G52)),"")</f>
        <v/>
      </c>
      <c r="U52" s="213" t="str">
        <f t="shared" ref="U52:U68" si="16">IF(AND($J52&lt;&gt;"",$R52=1),C52,"")</f>
        <v/>
      </c>
      <c r="V52" s="214" t="str">
        <f t="shared" ref="V52:V68" si="17">IF(AND($J52&lt;&gt;"",$R52=1),$J52,"")</f>
        <v/>
      </c>
      <c r="W52" s="213" t="str">
        <f t="shared" ref="W52:W68" si="18">IF(V52="","",C52)</f>
        <v/>
      </c>
      <c r="X52" s="215"/>
      <c r="Y52" s="212" t="str">
        <f t="shared" si="9"/>
        <v/>
      </c>
      <c r="Z52" s="213" t="str">
        <f t="shared" ref="Z52:Z68" si="19">IF(AND($I52&lt;&gt;"",$R52=2),C52,"")</f>
        <v/>
      </c>
      <c r="AA52" s="214" t="str">
        <f t="shared" ref="AA52:AA68" si="20">IF(AND($I52&lt;&gt;"",$R52=2),$I52,"")</f>
        <v/>
      </c>
      <c r="AB52" s="219" t="str">
        <f t="shared" si="13"/>
        <v/>
      </c>
      <c r="AC52" s="221" t="str">
        <f>IFERROR(IF(VLOOKUP(H52,SaKo!D:J,6,FALSE)&lt;10,CONCATENATE("0",VLOOKUP(H52,SaKo!D:J,6,FALSE)),VLOOKUP(H52,SaKo!D:J,6,FALSE)),"")</f>
        <v/>
      </c>
      <c r="AD52" s="221"/>
    </row>
    <row r="53" spans="1:30" ht="23.1" customHeight="1" x14ac:dyDescent="0.2">
      <c r="A53" s="219" t="str">
        <f t="shared" si="8"/>
        <v/>
      </c>
      <c r="B53" s="207"/>
      <c r="C53" s="71">
        <v>34</v>
      </c>
      <c r="D53" s="72"/>
      <c r="E53" s="263"/>
      <c r="F53" s="263"/>
      <c r="G53" s="73"/>
      <c r="H53" s="68" t="str">
        <f t="shared" si="14"/>
        <v/>
      </c>
      <c r="I53" s="69"/>
      <c r="J53" s="138"/>
      <c r="K53" s="74" t="str">
        <f t="shared" si="11"/>
        <v/>
      </c>
      <c r="L53" s="57"/>
      <c r="M53" s="146"/>
      <c r="N53" s="57"/>
      <c r="O53" s="57"/>
      <c r="P53" s="57"/>
      <c r="Q53" s="57"/>
      <c r="R53" s="216"/>
      <c r="S53" s="210"/>
      <c r="T53" s="213" t="str">
        <f t="shared" si="15"/>
        <v/>
      </c>
      <c r="U53" s="213" t="str">
        <f t="shared" si="16"/>
        <v/>
      </c>
      <c r="V53" s="214" t="str">
        <f t="shared" si="17"/>
        <v/>
      </c>
      <c r="W53" s="213" t="str">
        <f t="shared" si="18"/>
        <v/>
      </c>
      <c r="X53" s="215"/>
      <c r="Y53" s="212" t="str">
        <f t="shared" si="9"/>
        <v/>
      </c>
      <c r="Z53" s="213" t="str">
        <f t="shared" si="19"/>
        <v/>
      </c>
      <c r="AA53" s="214" t="str">
        <f t="shared" si="20"/>
        <v/>
      </c>
      <c r="AB53" s="219" t="str">
        <f t="shared" si="13"/>
        <v/>
      </c>
      <c r="AC53" s="221" t="str">
        <f>IFERROR(IF(VLOOKUP(H53,SaKo!D:J,6,FALSE)&lt;10,CONCATENATE("0",VLOOKUP(H53,SaKo!D:J,6,FALSE)),VLOOKUP(H53,SaKo!D:J,6,FALSE)),"")</f>
        <v/>
      </c>
      <c r="AD53" s="221"/>
    </row>
    <row r="54" spans="1:30" ht="23.1" customHeight="1" x14ac:dyDescent="0.2">
      <c r="A54" s="219" t="str">
        <f t="shared" si="8"/>
        <v/>
      </c>
      <c r="B54" s="207"/>
      <c r="C54" s="71">
        <v>35</v>
      </c>
      <c r="D54" s="72"/>
      <c r="E54" s="263"/>
      <c r="F54" s="263"/>
      <c r="G54" s="73"/>
      <c r="H54" s="68" t="str">
        <f t="shared" si="14"/>
        <v/>
      </c>
      <c r="I54" s="69"/>
      <c r="J54" s="138"/>
      <c r="K54" s="74" t="str">
        <f t="shared" si="11"/>
        <v/>
      </c>
      <c r="L54" s="57"/>
      <c r="M54" s="146"/>
      <c r="N54" s="57"/>
      <c r="O54" s="57"/>
      <c r="P54" s="57"/>
      <c r="Q54" s="57"/>
      <c r="R54" s="216"/>
      <c r="S54" s="210"/>
      <c r="T54" s="213" t="str">
        <f t="shared" si="15"/>
        <v/>
      </c>
      <c r="U54" s="213" t="str">
        <f t="shared" si="16"/>
        <v/>
      </c>
      <c r="V54" s="214" t="str">
        <f t="shared" si="17"/>
        <v/>
      </c>
      <c r="W54" s="213" t="str">
        <f t="shared" si="18"/>
        <v/>
      </c>
      <c r="X54" s="215"/>
      <c r="Y54" s="212" t="str">
        <f t="shared" si="9"/>
        <v/>
      </c>
      <c r="Z54" s="213" t="str">
        <f t="shared" si="19"/>
        <v/>
      </c>
      <c r="AA54" s="214" t="str">
        <f t="shared" si="20"/>
        <v/>
      </c>
      <c r="AB54" s="219" t="str">
        <f t="shared" si="13"/>
        <v/>
      </c>
      <c r="AC54" s="221" t="str">
        <f>IFERROR(IF(VLOOKUP(H54,SaKo!D:J,6,FALSE)&lt;10,CONCATENATE("0",VLOOKUP(H54,SaKo!D:J,6,FALSE)),VLOOKUP(H54,SaKo!D:J,6,FALSE)),"")</f>
        <v/>
      </c>
      <c r="AD54" s="221"/>
    </row>
    <row r="55" spans="1:30" ht="23.1" customHeight="1" x14ac:dyDescent="0.2">
      <c r="A55" s="219" t="str">
        <f t="shared" si="8"/>
        <v/>
      </c>
      <c r="B55" s="207"/>
      <c r="C55" s="71">
        <v>36</v>
      </c>
      <c r="D55" s="72"/>
      <c r="E55" s="263"/>
      <c r="F55" s="263"/>
      <c r="G55" s="73"/>
      <c r="H55" s="68" t="str">
        <f t="shared" si="14"/>
        <v/>
      </c>
      <c r="I55" s="69"/>
      <c r="J55" s="138"/>
      <c r="K55" s="74" t="str">
        <f t="shared" si="11"/>
        <v/>
      </c>
      <c r="L55" s="57"/>
      <c r="M55" s="146"/>
      <c r="N55" s="57"/>
      <c r="O55" s="57"/>
      <c r="P55" s="57"/>
      <c r="Q55" s="57"/>
      <c r="R55" s="216"/>
      <c r="S55" s="210"/>
      <c r="T55" s="213" t="str">
        <f t="shared" si="15"/>
        <v/>
      </c>
      <c r="U55" s="213" t="str">
        <f t="shared" si="16"/>
        <v/>
      </c>
      <c r="V55" s="214" t="str">
        <f t="shared" si="17"/>
        <v/>
      </c>
      <c r="W55" s="213" t="str">
        <f t="shared" si="18"/>
        <v/>
      </c>
      <c r="X55" s="215"/>
      <c r="Y55" s="212" t="str">
        <f t="shared" si="9"/>
        <v/>
      </c>
      <c r="Z55" s="213" t="str">
        <f t="shared" si="19"/>
        <v/>
      </c>
      <c r="AA55" s="214" t="str">
        <f t="shared" si="20"/>
        <v/>
      </c>
      <c r="AB55" s="219" t="str">
        <f t="shared" si="13"/>
        <v/>
      </c>
      <c r="AC55" s="221" t="str">
        <f>IFERROR(IF(VLOOKUP(H55,SaKo!D:J,6,FALSE)&lt;10,CONCATENATE("0",VLOOKUP(H55,SaKo!D:J,6,FALSE)),VLOOKUP(H55,SaKo!D:J,6,FALSE)),"")</f>
        <v/>
      </c>
      <c r="AD55" s="221"/>
    </row>
    <row r="56" spans="1:30" ht="23.1" customHeight="1" x14ac:dyDescent="0.2">
      <c r="A56" s="219" t="str">
        <f t="shared" si="8"/>
        <v/>
      </c>
      <c r="B56" s="207"/>
      <c r="C56" s="71">
        <v>37</v>
      </c>
      <c r="D56" s="72"/>
      <c r="E56" s="263"/>
      <c r="F56" s="263"/>
      <c r="G56" s="73"/>
      <c r="H56" s="68" t="str">
        <f t="shared" si="14"/>
        <v/>
      </c>
      <c r="I56" s="69"/>
      <c r="J56" s="138"/>
      <c r="K56" s="74" t="str">
        <f t="shared" si="11"/>
        <v/>
      </c>
      <c r="L56" s="57"/>
      <c r="M56" s="146"/>
      <c r="N56" s="57"/>
      <c r="O56" s="57"/>
      <c r="P56" s="57"/>
      <c r="Q56" s="57"/>
      <c r="R56" s="216"/>
      <c r="S56" s="210"/>
      <c r="T56" s="213" t="str">
        <f t="shared" si="15"/>
        <v/>
      </c>
      <c r="U56" s="213" t="str">
        <f t="shared" si="16"/>
        <v/>
      </c>
      <c r="V56" s="214" t="str">
        <f t="shared" si="17"/>
        <v/>
      </c>
      <c r="W56" s="213" t="str">
        <f t="shared" si="18"/>
        <v/>
      </c>
      <c r="X56" s="215"/>
      <c r="Y56" s="212" t="str">
        <f t="shared" si="9"/>
        <v/>
      </c>
      <c r="Z56" s="213" t="str">
        <f t="shared" si="19"/>
        <v/>
      </c>
      <c r="AA56" s="214" t="str">
        <f t="shared" si="20"/>
        <v/>
      </c>
      <c r="AB56" s="219" t="str">
        <f t="shared" si="13"/>
        <v/>
      </c>
      <c r="AC56" s="221" t="str">
        <f>IFERROR(IF(VLOOKUP(H56,SaKo!D:J,6,FALSE)&lt;10,CONCATENATE("0",VLOOKUP(H56,SaKo!D:J,6,FALSE)),VLOOKUP(H56,SaKo!D:J,6,FALSE)),"")</f>
        <v/>
      </c>
      <c r="AD56" s="221"/>
    </row>
    <row r="57" spans="1:30" ht="23.1" customHeight="1" x14ac:dyDescent="0.2">
      <c r="A57" s="219" t="str">
        <f t="shared" si="8"/>
        <v/>
      </c>
      <c r="B57" s="207"/>
      <c r="C57" s="71">
        <v>38</v>
      </c>
      <c r="D57" s="72"/>
      <c r="E57" s="263"/>
      <c r="F57" s="263"/>
      <c r="G57" s="73"/>
      <c r="H57" s="68" t="str">
        <f t="shared" si="14"/>
        <v/>
      </c>
      <c r="I57" s="69"/>
      <c r="J57" s="138"/>
      <c r="K57" s="74" t="str">
        <f t="shared" si="11"/>
        <v/>
      </c>
      <c r="L57" s="57"/>
      <c r="M57" s="146"/>
      <c r="N57" s="57"/>
      <c r="O57" s="57"/>
      <c r="P57" s="57"/>
      <c r="Q57" s="57"/>
      <c r="R57" s="216"/>
      <c r="S57" s="210"/>
      <c r="T57" s="213" t="str">
        <f t="shared" si="15"/>
        <v/>
      </c>
      <c r="U57" s="213" t="str">
        <f t="shared" si="16"/>
        <v/>
      </c>
      <c r="V57" s="214" t="str">
        <f t="shared" si="17"/>
        <v/>
      </c>
      <c r="W57" s="213" t="str">
        <f t="shared" si="18"/>
        <v/>
      </c>
      <c r="X57" s="215"/>
      <c r="Y57" s="212" t="str">
        <f t="shared" si="9"/>
        <v/>
      </c>
      <c r="Z57" s="213" t="str">
        <f t="shared" si="19"/>
        <v/>
      </c>
      <c r="AA57" s="214" t="str">
        <f t="shared" si="20"/>
        <v/>
      </c>
      <c r="AB57" s="219" t="str">
        <f t="shared" si="13"/>
        <v/>
      </c>
      <c r="AC57" s="221" t="str">
        <f>IFERROR(IF(VLOOKUP(H57,SaKo!D:J,6,FALSE)&lt;10,CONCATENATE("0",VLOOKUP(H57,SaKo!D:J,6,FALSE)),VLOOKUP(H57,SaKo!D:J,6,FALSE)),"")</f>
        <v/>
      </c>
      <c r="AD57" s="221"/>
    </row>
    <row r="58" spans="1:30" ht="23.1" customHeight="1" x14ac:dyDescent="0.2">
      <c r="A58" s="219" t="str">
        <f t="shared" si="8"/>
        <v/>
      </c>
      <c r="B58" s="207"/>
      <c r="C58" s="71">
        <v>39</v>
      </c>
      <c r="D58" s="72"/>
      <c r="E58" s="263"/>
      <c r="F58" s="263"/>
      <c r="G58" s="73"/>
      <c r="H58" s="68" t="str">
        <f t="shared" si="14"/>
        <v/>
      </c>
      <c r="I58" s="69"/>
      <c r="J58" s="138"/>
      <c r="K58" s="74" t="str">
        <f t="shared" si="11"/>
        <v/>
      </c>
      <c r="L58" s="57"/>
      <c r="M58" s="146"/>
      <c r="N58" s="57"/>
      <c r="O58" s="57"/>
      <c r="P58" s="57"/>
      <c r="Q58" s="57"/>
      <c r="R58" s="216"/>
      <c r="S58" s="210"/>
      <c r="T58" s="213" t="str">
        <f t="shared" si="15"/>
        <v/>
      </c>
      <c r="U58" s="213" t="str">
        <f t="shared" si="16"/>
        <v/>
      </c>
      <c r="V58" s="214" t="str">
        <f t="shared" si="17"/>
        <v/>
      </c>
      <c r="W58" s="213" t="str">
        <f t="shared" si="18"/>
        <v/>
      </c>
      <c r="X58" s="215"/>
      <c r="Y58" s="212" t="str">
        <f t="shared" si="9"/>
        <v/>
      </c>
      <c r="Z58" s="213" t="str">
        <f t="shared" si="19"/>
        <v/>
      </c>
      <c r="AA58" s="214" t="str">
        <f t="shared" si="20"/>
        <v/>
      </c>
      <c r="AB58" s="219" t="str">
        <f t="shared" si="13"/>
        <v/>
      </c>
      <c r="AC58" s="221" t="str">
        <f>IFERROR(IF(VLOOKUP(H58,SaKo!D:J,6,FALSE)&lt;10,CONCATENATE("0",VLOOKUP(H58,SaKo!D:J,6,FALSE)),VLOOKUP(H58,SaKo!D:J,6,FALSE)),"")</f>
        <v/>
      </c>
      <c r="AD58" s="221"/>
    </row>
    <row r="59" spans="1:30" ht="23.1" customHeight="1" x14ac:dyDescent="0.2">
      <c r="A59" s="219" t="str">
        <f t="shared" si="8"/>
        <v/>
      </c>
      <c r="B59" s="207"/>
      <c r="C59" s="71">
        <v>40</v>
      </c>
      <c r="D59" s="72"/>
      <c r="E59" s="263"/>
      <c r="F59" s="263"/>
      <c r="G59" s="73"/>
      <c r="H59" s="68" t="str">
        <f t="shared" si="14"/>
        <v/>
      </c>
      <c r="I59" s="69"/>
      <c r="J59" s="138"/>
      <c r="K59" s="74" t="str">
        <f t="shared" si="11"/>
        <v/>
      </c>
      <c r="L59" s="57"/>
      <c r="M59" s="146"/>
      <c r="N59" s="57"/>
      <c r="O59" s="57"/>
      <c r="P59" s="57"/>
      <c r="Q59" s="57"/>
      <c r="R59" s="216"/>
      <c r="S59" s="210"/>
      <c r="T59" s="213" t="str">
        <f t="shared" si="15"/>
        <v/>
      </c>
      <c r="U59" s="213" t="str">
        <f t="shared" si="16"/>
        <v/>
      </c>
      <c r="V59" s="214" t="str">
        <f t="shared" si="17"/>
        <v/>
      </c>
      <c r="W59" s="213" t="str">
        <f t="shared" si="18"/>
        <v/>
      </c>
      <c r="X59" s="215"/>
      <c r="Y59" s="212" t="str">
        <f t="shared" si="9"/>
        <v/>
      </c>
      <c r="Z59" s="213" t="str">
        <f t="shared" si="19"/>
        <v/>
      </c>
      <c r="AA59" s="214" t="str">
        <f t="shared" si="20"/>
        <v/>
      </c>
      <c r="AB59" s="219" t="str">
        <f t="shared" si="13"/>
        <v/>
      </c>
      <c r="AC59" s="221" t="str">
        <f>IFERROR(IF(VLOOKUP(H59,SaKo!D:J,6,FALSE)&lt;10,CONCATENATE("0",VLOOKUP(H59,SaKo!D:J,6,FALSE)),VLOOKUP(H59,SaKo!D:J,6,FALSE)),"")</f>
        <v/>
      </c>
      <c r="AD59" s="221"/>
    </row>
    <row r="60" spans="1:30" ht="23.1" customHeight="1" x14ac:dyDescent="0.2">
      <c r="A60" s="219" t="str">
        <f t="shared" si="8"/>
        <v/>
      </c>
      <c r="B60" s="207"/>
      <c r="C60" s="71">
        <v>41</v>
      </c>
      <c r="D60" s="72"/>
      <c r="E60" s="263"/>
      <c r="F60" s="263"/>
      <c r="G60" s="73"/>
      <c r="H60" s="68" t="str">
        <f t="shared" si="14"/>
        <v/>
      </c>
      <c r="I60" s="69"/>
      <c r="J60" s="138"/>
      <c r="K60" s="74" t="str">
        <f t="shared" si="11"/>
        <v/>
      </c>
      <c r="L60" s="57"/>
      <c r="M60" s="146"/>
      <c r="N60" s="57"/>
      <c r="O60" s="57"/>
      <c r="P60" s="57"/>
      <c r="Q60" s="57"/>
      <c r="R60" s="216"/>
      <c r="S60" s="210"/>
      <c r="T60" s="213" t="str">
        <f t="shared" si="15"/>
        <v/>
      </c>
      <c r="U60" s="213" t="str">
        <f t="shared" si="16"/>
        <v/>
      </c>
      <c r="V60" s="214" t="str">
        <f t="shared" si="17"/>
        <v/>
      </c>
      <c r="W60" s="213" t="str">
        <f t="shared" si="18"/>
        <v/>
      </c>
      <c r="X60" s="215"/>
      <c r="Y60" s="212" t="str">
        <f t="shared" si="9"/>
        <v/>
      </c>
      <c r="Z60" s="213" t="str">
        <f t="shared" si="19"/>
        <v/>
      </c>
      <c r="AA60" s="214" t="str">
        <f t="shared" si="20"/>
        <v/>
      </c>
      <c r="AB60" s="219" t="str">
        <f t="shared" si="13"/>
        <v/>
      </c>
      <c r="AC60" s="221" t="str">
        <f>IFERROR(IF(VLOOKUP(H60,SaKo!D:J,6,FALSE)&lt;10,CONCATENATE("0",VLOOKUP(H60,SaKo!D:J,6,FALSE)),VLOOKUP(H60,SaKo!D:J,6,FALSE)),"")</f>
        <v/>
      </c>
      <c r="AD60" s="221"/>
    </row>
    <row r="61" spans="1:30" ht="23.1" customHeight="1" x14ac:dyDescent="0.2">
      <c r="A61" s="219" t="str">
        <f t="shared" si="8"/>
        <v/>
      </c>
      <c r="B61" s="207"/>
      <c r="C61" s="71">
        <v>42</v>
      </c>
      <c r="D61" s="72"/>
      <c r="E61" s="263"/>
      <c r="F61" s="263"/>
      <c r="G61" s="73"/>
      <c r="H61" s="68" t="str">
        <f t="shared" si="14"/>
        <v/>
      </c>
      <c r="I61" s="69"/>
      <c r="J61" s="138"/>
      <c r="K61" s="74" t="str">
        <f t="shared" si="11"/>
        <v/>
      </c>
      <c r="L61" s="57"/>
      <c r="M61" s="146"/>
      <c r="N61" s="57"/>
      <c r="O61" s="57"/>
      <c r="P61" s="57"/>
      <c r="Q61" s="57"/>
      <c r="R61" s="216"/>
      <c r="S61" s="210"/>
      <c r="T61" s="213" t="str">
        <f t="shared" si="15"/>
        <v/>
      </c>
      <c r="U61" s="213" t="str">
        <f t="shared" si="16"/>
        <v/>
      </c>
      <c r="V61" s="214" t="str">
        <f t="shared" si="17"/>
        <v/>
      </c>
      <c r="W61" s="213" t="str">
        <f t="shared" si="18"/>
        <v/>
      </c>
      <c r="X61" s="215"/>
      <c r="Y61" s="212" t="str">
        <f t="shared" si="9"/>
        <v/>
      </c>
      <c r="Z61" s="213" t="str">
        <f t="shared" si="19"/>
        <v/>
      </c>
      <c r="AA61" s="214" t="str">
        <f t="shared" si="20"/>
        <v/>
      </c>
      <c r="AB61" s="219" t="str">
        <f t="shared" si="13"/>
        <v/>
      </c>
      <c r="AC61" s="221" t="str">
        <f>IFERROR(IF(VLOOKUP(H61,SaKo!D:J,6,FALSE)&lt;10,CONCATENATE("0",VLOOKUP(H61,SaKo!D:J,6,FALSE)),VLOOKUP(H61,SaKo!D:J,6,FALSE)),"")</f>
        <v/>
      </c>
      <c r="AD61" s="221"/>
    </row>
    <row r="62" spans="1:30" ht="23.1" customHeight="1" x14ac:dyDescent="0.2">
      <c r="A62" s="219" t="str">
        <f t="shared" si="8"/>
        <v/>
      </c>
      <c r="B62" s="207"/>
      <c r="C62" s="71">
        <v>43</v>
      </c>
      <c r="D62" s="72"/>
      <c r="E62" s="263"/>
      <c r="F62" s="263"/>
      <c r="G62" s="73"/>
      <c r="H62" s="68" t="str">
        <f t="shared" si="14"/>
        <v/>
      </c>
      <c r="I62" s="69"/>
      <c r="J62" s="138"/>
      <c r="K62" s="74" t="str">
        <f t="shared" si="11"/>
        <v/>
      </c>
      <c r="L62" s="57"/>
      <c r="M62" s="146"/>
      <c r="N62" s="57"/>
      <c r="O62" s="57"/>
      <c r="P62" s="57"/>
      <c r="Q62" s="57"/>
      <c r="R62" s="216"/>
      <c r="S62" s="210"/>
      <c r="T62" s="213" t="str">
        <f t="shared" si="15"/>
        <v/>
      </c>
      <c r="U62" s="213" t="str">
        <f t="shared" si="16"/>
        <v/>
      </c>
      <c r="V62" s="214" t="str">
        <f t="shared" si="17"/>
        <v/>
      </c>
      <c r="W62" s="213" t="str">
        <f t="shared" si="18"/>
        <v/>
      </c>
      <c r="X62" s="215"/>
      <c r="Y62" s="212" t="str">
        <f t="shared" si="9"/>
        <v/>
      </c>
      <c r="Z62" s="213" t="str">
        <f t="shared" si="19"/>
        <v/>
      </c>
      <c r="AA62" s="214" t="str">
        <f t="shared" si="20"/>
        <v/>
      </c>
      <c r="AB62" s="219" t="str">
        <f t="shared" si="13"/>
        <v/>
      </c>
      <c r="AC62" s="221" t="str">
        <f>IFERROR(IF(VLOOKUP(H62,SaKo!D:J,6,FALSE)&lt;10,CONCATENATE("0",VLOOKUP(H62,SaKo!D:J,6,FALSE)),VLOOKUP(H62,SaKo!D:J,6,FALSE)),"")</f>
        <v/>
      </c>
      <c r="AD62" s="221"/>
    </row>
    <row r="63" spans="1:30" ht="23.1" customHeight="1" x14ac:dyDescent="0.2">
      <c r="A63" s="219" t="str">
        <f t="shared" si="8"/>
        <v/>
      </c>
      <c r="B63" s="207"/>
      <c r="C63" s="71">
        <v>44</v>
      </c>
      <c r="D63" s="72"/>
      <c r="E63" s="263"/>
      <c r="F63" s="263"/>
      <c r="G63" s="73"/>
      <c r="H63" s="68" t="str">
        <f t="shared" si="14"/>
        <v/>
      </c>
      <c r="I63" s="69"/>
      <c r="J63" s="138"/>
      <c r="K63" s="74" t="str">
        <f t="shared" si="11"/>
        <v/>
      </c>
      <c r="L63" s="57"/>
      <c r="M63" s="146"/>
      <c r="N63" s="57"/>
      <c r="O63" s="57"/>
      <c r="P63" s="57"/>
      <c r="Q63" s="57"/>
      <c r="R63" s="216"/>
      <c r="S63" s="210"/>
      <c r="T63" s="213" t="str">
        <f t="shared" si="15"/>
        <v/>
      </c>
      <c r="U63" s="213" t="str">
        <f t="shared" si="16"/>
        <v/>
      </c>
      <c r="V63" s="214" t="str">
        <f t="shared" si="17"/>
        <v/>
      </c>
      <c r="W63" s="213" t="str">
        <f t="shared" si="18"/>
        <v/>
      </c>
      <c r="X63" s="215"/>
      <c r="Y63" s="212" t="str">
        <f t="shared" si="9"/>
        <v/>
      </c>
      <c r="Z63" s="213" t="str">
        <f t="shared" si="19"/>
        <v/>
      </c>
      <c r="AA63" s="214" t="str">
        <f t="shared" si="20"/>
        <v/>
      </c>
      <c r="AB63" s="219" t="str">
        <f t="shared" si="13"/>
        <v/>
      </c>
      <c r="AC63" s="221" t="str">
        <f>IFERROR(IF(VLOOKUP(H63,SaKo!D:J,6,FALSE)&lt;10,CONCATENATE("0",VLOOKUP(H63,SaKo!D:J,6,FALSE)),VLOOKUP(H63,SaKo!D:J,6,FALSE)),"")</f>
        <v/>
      </c>
      <c r="AD63" s="221"/>
    </row>
    <row r="64" spans="1:30" ht="23.1" customHeight="1" x14ac:dyDescent="0.2">
      <c r="A64" s="219" t="str">
        <f t="shared" si="8"/>
        <v/>
      </c>
      <c r="B64" s="207"/>
      <c r="C64" s="71">
        <v>45</v>
      </c>
      <c r="D64" s="72"/>
      <c r="E64" s="263"/>
      <c r="F64" s="263"/>
      <c r="G64" s="73"/>
      <c r="H64" s="68" t="str">
        <f t="shared" si="14"/>
        <v/>
      </c>
      <c r="I64" s="69"/>
      <c r="J64" s="138"/>
      <c r="K64" s="74" t="str">
        <f t="shared" si="11"/>
        <v/>
      </c>
      <c r="L64" s="205"/>
      <c r="M64" s="146"/>
      <c r="N64" s="57"/>
      <c r="O64" s="57"/>
      <c r="P64" s="57"/>
      <c r="Q64" s="57"/>
      <c r="R64" s="216"/>
      <c r="S64" s="210"/>
      <c r="T64" s="213" t="str">
        <f t="shared" si="15"/>
        <v/>
      </c>
      <c r="U64" s="213" t="str">
        <f t="shared" si="16"/>
        <v/>
      </c>
      <c r="V64" s="214" t="str">
        <f t="shared" si="17"/>
        <v/>
      </c>
      <c r="W64" s="213" t="str">
        <f t="shared" si="18"/>
        <v/>
      </c>
      <c r="X64" s="215"/>
      <c r="Y64" s="212" t="str">
        <f t="shared" si="9"/>
        <v/>
      </c>
      <c r="Z64" s="213" t="str">
        <f t="shared" si="19"/>
        <v/>
      </c>
      <c r="AA64" s="214" t="str">
        <f t="shared" si="20"/>
        <v/>
      </c>
      <c r="AB64" s="219" t="str">
        <f t="shared" si="13"/>
        <v/>
      </c>
      <c r="AC64" s="221" t="str">
        <f>IFERROR(IF(VLOOKUP(H64,SaKo!D:J,6,FALSE)&lt;10,CONCATENATE("0",VLOOKUP(H64,SaKo!D:J,6,FALSE)),VLOOKUP(H64,SaKo!D:J,6,FALSE)),"")</f>
        <v/>
      </c>
      <c r="AD64" s="221"/>
    </row>
    <row r="65" spans="1:30" ht="23.1" customHeight="1" x14ac:dyDescent="0.2">
      <c r="A65" s="219" t="str">
        <f t="shared" si="8"/>
        <v/>
      </c>
      <c r="B65" s="207"/>
      <c r="C65" s="71">
        <v>46</v>
      </c>
      <c r="D65" s="72"/>
      <c r="E65" s="263"/>
      <c r="F65" s="263"/>
      <c r="G65" s="73"/>
      <c r="H65" s="68" t="str">
        <f t="shared" si="14"/>
        <v/>
      </c>
      <c r="I65" s="69"/>
      <c r="J65" s="138"/>
      <c r="K65" s="74" t="str">
        <f t="shared" si="11"/>
        <v/>
      </c>
      <c r="L65" s="57"/>
      <c r="M65" s="146"/>
      <c r="N65" s="57"/>
      <c r="O65" s="57"/>
      <c r="P65" s="57"/>
      <c r="Q65" s="57"/>
      <c r="R65" s="216"/>
      <c r="S65" s="210"/>
      <c r="T65" s="213" t="str">
        <f t="shared" si="15"/>
        <v/>
      </c>
      <c r="U65" s="213" t="str">
        <f t="shared" si="16"/>
        <v/>
      </c>
      <c r="V65" s="214" t="str">
        <f t="shared" si="17"/>
        <v/>
      </c>
      <c r="W65" s="213" t="str">
        <f t="shared" si="18"/>
        <v/>
      </c>
      <c r="X65" s="215"/>
      <c r="Y65" s="212" t="str">
        <f t="shared" si="9"/>
        <v/>
      </c>
      <c r="Z65" s="213" t="str">
        <f t="shared" si="19"/>
        <v/>
      </c>
      <c r="AA65" s="214" t="str">
        <f t="shared" si="20"/>
        <v/>
      </c>
      <c r="AB65" s="219" t="str">
        <f t="shared" si="13"/>
        <v/>
      </c>
      <c r="AC65" s="221" t="str">
        <f>IFERROR(IF(VLOOKUP(H65,SaKo!D:J,6,FALSE)&lt;10,CONCATENATE("0",VLOOKUP(H65,SaKo!D:J,6,FALSE)),VLOOKUP(H65,SaKo!D:J,6,FALSE)),"")</f>
        <v/>
      </c>
      <c r="AD65" s="221"/>
    </row>
    <row r="66" spans="1:30" ht="23.1" customHeight="1" x14ac:dyDescent="0.2">
      <c r="A66" s="219" t="str">
        <f t="shared" si="8"/>
        <v/>
      </c>
      <c r="B66" s="207"/>
      <c r="C66" s="71">
        <v>47</v>
      </c>
      <c r="D66" s="72"/>
      <c r="E66" s="263"/>
      <c r="F66" s="263"/>
      <c r="G66" s="73"/>
      <c r="H66" s="68" t="str">
        <f t="shared" si="14"/>
        <v/>
      </c>
      <c r="I66" s="69"/>
      <c r="J66" s="138"/>
      <c r="K66" s="74" t="str">
        <f t="shared" si="11"/>
        <v/>
      </c>
      <c r="L66" s="57"/>
      <c r="M66" s="146"/>
      <c r="N66" s="57"/>
      <c r="O66" s="57"/>
      <c r="P66" s="57"/>
      <c r="Q66" s="57"/>
      <c r="R66" s="216"/>
      <c r="S66" s="210"/>
      <c r="T66" s="213" t="str">
        <f t="shared" si="15"/>
        <v/>
      </c>
      <c r="U66" s="213" t="str">
        <f t="shared" si="16"/>
        <v/>
      </c>
      <c r="V66" s="214" t="str">
        <f t="shared" si="17"/>
        <v/>
      </c>
      <c r="W66" s="213" t="str">
        <f t="shared" si="18"/>
        <v/>
      </c>
      <c r="X66" s="215"/>
      <c r="Y66" s="212" t="str">
        <f t="shared" si="9"/>
        <v/>
      </c>
      <c r="Z66" s="213" t="str">
        <f t="shared" si="19"/>
        <v/>
      </c>
      <c r="AA66" s="214" t="str">
        <f t="shared" si="20"/>
        <v/>
      </c>
      <c r="AB66" s="219" t="str">
        <f t="shared" si="13"/>
        <v/>
      </c>
      <c r="AC66" s="221" t="str">
        <f>IFERROR(IF(VLOOKUP(H66,SaKo!D:J,6,FALSE)&lt;10,CONCATENATE("0",VLOOKUP(H66,SaKo!D:J,6,FALSE)),VLOOKUP(H66,SaKo!D:J,6,FALSE)),"")</f>
        <v/>
      </c>
      <c r="AD66" s="221"/>
    </row>
    <row r="67" spans="1:30" ht="23.1" customHeight="1" x14ac:dyDescent="0.2">
      <c r="A67" s="219" t="str">
        <f t="shared" si="8"/>
        <v/>
      </c>
      <c r="B67" s="207"/>
      <c r="C67" s="71">
        <v>48</v>
      </c>
      <c r="D67" s="72"/>
      <c r="E67" s="263"/>
      <c r="F67" s="263"/>
      <c r="G67" s="73"/>
      <c r="H67" s="68" t="str">
        <f t="shared" si="14"/>
        <v/>
      </c>
      <c r="I67" s="69"/>
      <c r="J67" s="138"/>
      <c r="K67" s="74" t="str">
        <f t="shared" si="11"/>
        <v/>
      </c>
      <c r="L67" s="57"/>
      <c r="M67" s="146"/>
      <c r="N67" s="57"/>
      <c r="O67" s="57"/>
      <c r="P67" s="57"/>
      <c r="Q67" s="57"/>
      <c r="R67" s="216"/>
      <c r="S67" s="210"/>
      <c r="T67" s="213" t="str">
        <f t="shared" si="15"/>
        <v/>
      </c>
      <c r="U67" s="213" t="str">
        <f t="shared" si="16"/>
        <v/>
      </c>
      <c r="V67" s="214" t="str">
        <f t="shared" si="17"/>
        <v/>
      </c>
      <c r="W67" s="213" t="str">
        <f t="shared" si="18"/>
        <v/>
      </c>
      <c r="X67" s="215"/>
      <c r="Y67" s="212" t="str">
        <f t="shared" si="9"/>
        <v/>
      </c>
      <c r="Z67" s="213" t="str">
        <f t="shared" si="19"/>
        <v/>
      </c>
      <c r="AA67" s="214" t="str">
        <f t="shared" si="20"/>
        <v/>
      </c>
      <c r="AB67" s="219" t="str">
        <f t="shared" si="13"/>
        <v/>
      </c>
      <c r="AC67" s="221" t="str">
        <f>IFERROR(IF(VLOOKUP(H67,SaKo!D:J,6,FALSE)&lt;10,CONCATENATE("0",VLOOKUP(H67,SaKo!D:J,6,FALSE)),VLOOKUP(H67,SaKo!D:J,6,FALSE)),"")</f>
        <v/>
      </c>
      <c r="AD67" s="221"/>
    </row>
    <row r="68" spans="1:30" ht="23.1" customHeight="1" x14ac:dyDescent="0.2">
      <c r="A68" s="219" t="str">
        <f t="shared" si="8"/>
        <v/>
      </c>
      <c r="B68" s="207"/>
      <c r="C68" s="71">
        <v>49</v>
      </c>
      <c r="D68" s="72"/>
      <c r="E68" s="263"/>
      <c r="F68" s="263"/>
      <c r="G68" s="73"/>
      <c r="H68" s="68" t="str">
        <f t="shared" si="14"/>
        <v/>
      </c>
      <c r="I68" s="69"/>
      <c r="J68" s="138"/>
      <c r="K68" s="74" t="str">
        <f t="shared" si="11"/>
        <v/>
      </c>
      <c r="L68" s="57"/>
      <c r="M68" s="146"/>
      <c r="N68" s="57"/>
      <c r="O68" s="57"/>
      <c r="P68" s="57"/>
      <c r="Q68" s="57"/>
      <c r="R68" s="216"/>
      <c r="S68" s="210"/>
      <c r="T68" s="213" t="str">
        <f t="shared" si="15"/>
        <v/>
      </c>
      <c r="U68" s="213" t="str">
        <f t="shared" si="16"/>
        <v/>
      </c>
      <c r="V68" s="214" t="str">
        <f t="shared" si="17"/>
        <v/>
      </c>
      <c r="W68" s="213" t="str">
        <f t="shared" si="18"/>
        <v/>
      </c>
      <c r="X68" s="215"/>
      <c r="Y68" s="212" t="str">
        <f t="shared" si="9"/>
        <v/>
      </c>
      <c r="Z68" s="213" t="str">
        <f t="shared" si="19"/>
        <v/>
      </c>
      <c r="AA68" s="214" t="str">
        <f t="shared" si="20"/>
        <v/>
      </c>
      <c r="AB68" s="219" t="str">
        <f t="shared" si="13"/>
        <v/>
      </c>
      <c r="AC68" s="221" t="str">
        <f>IFERROR(IF(VLOOKUP(H68,SaKo!D:J,6,FALSE)&lt;10,CONCATENATE("0",VLOOKUP(H68,SaKo!D:J,6,FALSE)),VLOOKUP(H68,SaKo!D:J,6,FALSE)),"")</f>
        <v/>
      </c>
      <c r="AD68" s="221"/>
    </row>
    <row r="69" spans="1:30" ht="21" customHeight="1" x14ac:dyDescent="0.2">
      <c r="D69" s="58"/>
      <c r="E69" s="58"/>
      <c r="F69" s="58" t="s">
        <v>88</v>
      </c>
      <c r="G69" s="58"/>
      <c r="H69" s="58"/>
      <c r="I69" s="59">
        <f>SUM(I20:I68)</f>
        <v>0</v>
      </c>
      <c r="J69" s="139">
        <f>SUM(J20:J68)</f>
        <v>0</v>
      </c>
      <c r="K69" s="137"/>
      <c r="L69" s="57"/>
      <c r="M69" s="146"/>
      <c r="N69" s="57"/>
      <c r="O69" s="57"/>
      <c r="P69" s="57"/>
      <c r="Q69" s="57"/>
      <c r="R69" s="146"/>
      <c r="S69" s="146"/>
    </row>
  </sheetData>
  <sheetProtection password="C597" sheet="1" objects="1" scenarios="1" selectLockedCells="1"/>
  <dataConsolidate/>
  <mergeCells count="67">
    <mergeCell ref="T18:V18"/>
    <mergeCell ref="Y18:AA18"/>
    <mergeCell ref="T17:AA17"/>
    <mergeCell ref="E56:F56"/>
    <mergeCell ref="E55:F55"/>
    <mergeCell ref="I18:J18"/>
    <mergeCell ref="O19:Q19"/>
    <mergeCell ref="E20:F20"/>
    <mergeCell ref="E19:F19"/>
    <mergeCell ref="E54:F54"/>
    <mergeCell ref="E53:F53"/>
    <mergeCell ref="E21:F21"/>
    <mergeCell ref="E22:F22"/>
    <mergeCell ref="E23:F23"/>
    <mergeCell ref="E24:F24"/>
    <mergeCell ref="E25:F25"/>
    <mergeCell ref="D14:F16"/>
    <mergeCell ref="O2:P4"/>
    <mergeCell ref="F2:F4"/>
    <mergeCell ref="F7:F8"/>
    <mergeCell ref="J2:K4"/>
    <mergeCell ref="F5:K5"/>
    <mergeCell ref="M2:M4"/>
    <mergeCell ref="I8:K8"/>
    <mergeCell ref="M10:Q17"/>
    <mergeCell ref="I17:J17"/>
    <mergeCell ref="E68:F68"/>
    <mergeCell ref="E67:F67"/>
    <mergeCell ref="E66:F66"/>
    <mergeCell ref="E65:F65"/>
    <mergeCell ref="E64:F64"/>
    <mergeCell ref="E58:F58"/>
    <mergeCell ref="E57:F57"/>
    <mergeCell ref="E63:F63"/>
    <mergeCell ref="E62:F62"/>
    <mergeCell ref="E61:F61"/>
    <mergeCell ref="E60:F60"/>
    <mergeCell ref="E59:F59"/>
    <mergeCell ref="E31:F31"/>
    <mergeCell ref="E26:F26"/>
    <mergeCell ref="E27:F27"/>
    <mergeCell ref="E28:F28"/>
    <mergeCell ref="E29:F29"/>
    <mergeCell ref="E30:F30"/>
    <mergeCell ref="E37:F37"/>
    <mergeCell ref="E36:F36"/>
    <mergeCell ref="E45:F45"/>
    <mergeCell ref="E44:F44"/>
    <mergeCell ref="E43:F43"/>
    <mergeCell ref="E42:F42"/>
    <mergeCell ref="E41:F41"/>
    <mergeCell ref="E52:F52"/>
    <mergeCell ref="E18:F18"/>
    <mergeCell ref="E17:F17"/>
    <mergeCell ref="E47:F47"/>
    <mergeCell ref="E48:F48"/>
    <mergeCell ref="E49:F49"/>
    <mergeCell ref="E50:F50"/>
    <mergeCell ref="E51:F51"/>
    <mergeCell ref="E35:F35"/>
    <mergeCell ref="E34:F34"/>
    <mergeCell ref="E33:F33"/>
    <mergeCell ref="E32:F32"/>
    <mergeCell ref="E46:F46"/>
    <mergeCell ref="E40:F40"/>
    <mergeCell ref="E39:F39"/>
    <mergeCell ref="E38:F38"/>
  </mergeCells>
  <conditionalFormatting sqref="I7 K15">
    <cfRule type="expression" dxfId="5" priority="3">
      <formula>$Q$8=1</formula>
    </cfRule>
  </conditionalFormatting>
  <conditionalFormatting sqref="K10">
    <cfRule type="expression" dxfId="4" priority="2">
      <formula>$Q$8=1</formula>
    </cfRule>
  </conditionalFormatting>
  <conditionalFormatting sqref="K12:K13">
    <cfRule type="expression" dxfId="3" priority="1">
      <formula>$Q$8=1</formula>
    </cfRule>
  </conditionalFormatting>
  <dataValidations count="2">
    <dataValidation type="custom" showInputMessage="1" showErrorMessage="1" errorTitle="Eingabe im falschen Feld!!" error="Sie haben die Kategorie &quot;Aufwand&quot; gewählt - bitte geben Sie den Betrag in der dafür vorgesehenen Spalte &quot;Aufwand&quot; ein!" sqref="I20:I68">
      <formula1>$R20=2</formula1>
    </dataValidation>
    <dataValidation type="custom" showInputMessage="1" showErrorMessage="1" errorTitle="Eingabe im falschen Feld!!" error="Sie haben die Kategorie &quot;Ertrag&quot; gewählt - bitte geben Sie den Betrag in der dafür vorgesehenen Spalte &quot;Ertrag&quot; ein!" sqref="J20:J68">
      <formula1>$R20=1</formula1>
    </dataValidation>
  </dataValidations>
  <pageMargins left="0.55118110236220474" right="0.27559055118110237" top="0.39370078740157483" bottom="0.47244094488188981" header="0.35433070866141736" footer="0.15748031496062992"/>
  <pageSetup paperSize="9" scale="88" fitToHeight="5" orientation="portrait" r:id="rId1"/>
  <headerFooter alignWithMargins="0">
    <oddFooter>&amp;L&amp;"Calibri,Standard"&amp;7Stand: &amp;D&amp;C&amp;"Calibri,Standard"&amp;7Seite &amp;P&amp;R&amp;"Calibri,Standard"&amp;7Version: &amp;F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33" r:id="rId4" name="Drop Down 13">
              <controlPr defaultSize="0" autoLine="0" autoPict="0">
                <anchor moveWithCells="1">
                  <from>
                    <xdr:col>12</xdr:col>
                    <xdr:colOff>733425</xdr:colOff>
                    <xdr:row>20</xdr:row>
                    <xdr:rowOff>19050</xdr:rowOff>
                  </from>
                  <to>
                    <xdr:col>29</xdr:col>
                    <xdr:colOff>190500</xdr:colOff>
                    <xdr:row>20</xdr:row>
                    <xdr:rowOff>257175</xdr:rowOff>
                  </to>
                </anchor>
              </controlPr>
            </control>
          </mc:Choice>
        </mc:AlternateContent>
        <mc:AlternateContent xmlns:mc="http://schemas.openxmlformats.org/markup-compatibility/2006">
          <mc:Choice Requires="x14">
            <control shapeId="5134" r:id="rId5" name="Drop Down 14">
              <controlPr defaultSize="0" autoLine="0" autoPict="0">
                <anchor moveWithCells="1">
                  <from>
                    <xdr:col>12</xdr:col>
                    <xdr:colOff>733425</xdr:colOff>
                    <xdr:row>21</xdr:row>
                    <xdr:rowOff>47625</xdr:rowOff>
                  </from>
                  <to>
                    <xdr:col>29</xdr:col>
                    <xdr:colOff>190500</xdr:colOff>
                    <xdr:row>21</xdr:row>
                    <xdr:rowOff>276225</xdr:rowOff>
                  </to>
                </anchor>
              </controlPr>
            </control>
          </mc:Choice>
        </mc:AlternateContent>
        <mc:AlternateContent xmlns:mc="http://schemas.openxmlformats.org/markup-compatibility/2006">
          <mc:Choice Requires="x14">
            <control shapeId="5135" r:id="rId6" name="Drop Down 15">
              <controlPr defaultSize="0" autoLine="0" autoPict="0">
                <anchor moveWithCells="1">
                  <from>
                    <xdr:col>12</xdr:col>
                    <xdr:colOff>733425</xdr:colOff>
                    <xdr:row>22</xdr:row>
                    <xdr:rowOff>47625</xdr:rowOff>
                  </from>
                  <to>
                    <xdr:col>29</xdr:col>
                    <xdr:colOff>190500</xdr:colOff>
                    <xdr:row>22</xdr:row>
                    <xdr:rowOff>276225</xdr:rowOff>
                  </to>
                </anchor>
              </controlPr>
            </control>
          </mc:Choice>
        </mc:AlternateContent>
        <mc:AlternateContent xmlns:mc="http://schemas.openxmlformats.org/markup-compatibility/2006">
          <mc:Choice Requires="x14">
            <control shapeId="5136" r:id="rId7" name="Drop Down 16">
              <controlPr defaultSize="0" autoLine="0" autoPict="0">
                <anchor moveWithCells="1">
                  <from>
                    <xdr:col>12</xdr:col>
                    <xdr:colOff>733425</xdr:colOff>
                    <xdr:row>23</xdr:row>
                    <xdr:rowOff>38100</xdr:rowOff>
                  </from>
                  <to>
                    <xdr:col>29</xdr:col>
                    <xdr:colOff>190500</xdr:colOff>
                    <xdr:row>23</xdr:row>
                    <xdr:rowOff>266700</xdr:rowOff>
                  </to>
                </anchor>
              </controlPr>
            </control>
          </mc:Choice>
        </mc:AlternateContent>
        <mc:AlternateContent xmlns:mc="http://schemas.openxmlformats.org/markup-compatibility/2006">
          <mc:Choice Requires="x14">
            <control shapeId="5137" r:id="rId8" name="Drop Down 17">
              <controlPr defaultSize="0" autoLine="0" autoPict="0">
                <anchor moveWithCells="1">
                  <from>
                    <xdr:col>12</xdr:col>
                    <xdr:colOff>742950</xdr:colOff>
                    <xdr:row>24</xdr:row>
                    <xdr:rowOff>28575</xdr:rowOff>
                  </from>
                  <to>
                    <xdr:col>29</xdr:col>
                    <xdr:colOff>200025</xdr:colOff>
                    <xdr:row>24</xdr:row>
                    <xdr:rowOff>257175</xdr:rowOff>
                  </to>
                </anchor>
              </controlPr>
            </control>
          </mc:Choice>
        </mc:AlternateContent>
        <mc:AlternateContent xmlns:mc="http://schemas.openxmlformats.org/markup-compatibility/2006">
          <mc:Choice Requires="x14">
            <control shapeId="5138" r:id="rId9" name="Drop Down 18">
              <controlPr defaultSize="0" autoLine="0" autoPict="0">
                <anchor moveWithCells="1">
                  <from>
                    <xdr:col>12</xdr:col>
                    <xdr:colOff>742950</xdr:colOff>
                    <xdr:row>25</xdr:row>
                    <xdr:rowOff>28575</xdr:rowOff>
                  </from>
                  <to>
                    <xdr:col>29</xdr:col>
                    <xdr:colOff>200025</xdr:colOff>
                    <xdr:row>25</xdr:row>
                    <xdr:rowOff>257175</xdr:rowOff>
                  </to>
                </anchor>
              </controlPr>
            </control>
          </mc:Choice>
        </mc:AlternateContent>
        <mc:AlternateContent xmlns:mc="http://schemas.openxmlformats.org/markup-compatibility/2006">
          <mc:Choice Requires="x14">
            <control shapeId="5139" r:id="rId10" name="Drop Down 19">
              <controlPr defaultSize="0" autoLine="0" autoPict="0">
                <anchor moveWithCells="1">
                  <from>
                    <xdr:col>12</xdr:col>
                    <xdr:colOff>742950</xdr:colOff>
                    <xdr:row>26</xdr:row>
                    <xdr:rowOff>38100</xdr:rowOff>
                  </from>
                  <to>
                    <xdr:col>29</xdr:col>
                    <xdr:colOff>200025</xdr:colOff>
                    <xdr:row>26</xdr:row>
                    <xdr:rowOff>266700</xdr:rowOff>
                  </to>
                </anchor>
              </controlPr>
            </control>
          </mc:Choice>
        </mc:AlternateContent>
        <mc:AlternateContent xmlns:mc="http://schemas.openxmlformats.org/markup-compatibility/2006">
          <mc:Choice Requires="x14">
            <control shapeId="5140" r:id="rId11" name="Drop Down 20">
              <controlPr defaultSize="0" autoLine="0" autoPict="0">
                <anchor moveWithCells="1">
                  <from>
                    <xdr:col>12</xdr:col>
                    <xdr:colOff>733425</xdr:colOff>
                    <xdr:row>27</xdr:row>
                    <xdr:rowOff>38100</xdr:rowOff>
                  </from>
                  <to>
                    <xdr:col>29</xdr:col>
                    <xdr:colOff>190500</xdr:colOff>
                    <xdr:row>27</xdr:row>
                    <xdr:rowOff>266700</xdr:rowOff>
                  </to>
                </anchor>
              </controlPr>
            </control>
          </mc:Choice>
        </mc:AlternateContent>
        <mc:AlternateContent xmlns:mc="http://schemas.openxmlformats.org/markup-compatibility/2006">
          <mc:Choice Requires="x14">
            <control shapeId="5141" r:id="rId12" name="Drop Down 21">
              <controlPr defaultSize="0" autoLine="0" autoPict="0">
                <anchor moveWithCells="1">
                  <from>
                    <xdr:col>12</xdr:col>
                    <xdr:colOff>733425</xdr:colOff>
                    <xdr:row>28</xdr:row>
                    <xdr:rowOff>38100</xdr:rowOff>
                  </from>
                  <to>
                    <xdr:col>29</xdr:col>
                    <xdr:colOff>190500</xdr:colOff>
                    <xdr:row>28</xdr:row>
                    <xdr:rowOff>266700</xdr:rowOff>
                  </to>
                </anchor>
              </controlPr>
            </control>
          </mc:Choice>
        </mc:AlternateContent>
        <mc:AlternateContent xmlns:mc="http://schemas.openxmlformats.org/markup-compatibility/2006">
          <mc:Choice Requires="x14">
            <control shapeId="5142" r:id="rId13" name="Drop Down 22">
              <controlPr defaultSize="0" autoLine="0" autoPict="0">
                <anchor moveWithCells="1">
                  <from>
                    <xdr:col>12</xdr:col>
                    <xdr:colOff>733425</xdr:colOff>
                    <xdr:row>29</xdr:row>
                    <xdr:rowOff>38100</xdr:rowOff>
                  </from>
                  <to>
                    <xdr:col>29</xdr:col>
                    <xdr:colOff>190500</xdr:colOff>
                    <xdr:row>29</xdr:row>
                    <xdr:rowOff>266700</xdr:rowOff>
                  </to>
                </anchor>
              </controlPr>
            </control>
          </mc:Choice>
        </mc:AlternateContent>
        <mc:AlternateContent xmlns:mc="http://schemas.openxmlformats.org/markup-compatibility/2006">
          <mc:Choice Requires="x14">
            <control shapeId="5143" r:id="rId14" name="Drop Down 23">
              <controlPr defaultSize="0" autoLine="0" autoPict="0">
                <anchor moveWithCells="1">
                  <from>
                    <xdr:col>12</xdr:col>
                    <xdr:colOff>733425</xdr:colOff>
                    <xdr:row>30</xdr:row>
                    <xdr:rowOff>47625</xdr:rowOff>
                  </from>
                  <to>
                    <xdr:col>29</xdr:col>
                    <xdr:colOff>190500</xdr:colOff>
                    <xdr:row>30</xdr:row>
                    <xdr:rowOff>276225</xdr:rowOff>
                  </to>
                </anchor>
              </controlPr>
            </control>
          </mc:Choice>
        </mc:AlternateContent>
        <mc:AlternateContent xmlns:mc="http://schemas.openxmlformats.org/markup-compatibility/2006">
          <mc:Choice Requires="x14">
            <control shapeId="5144" r:id="rId15" name="Drop Down 24">
              <controlPr defaultSize="0" autoLine="0" autoPict="0">
                <anchor moveWithCells="1">
                  <from>
                    <xdr:col>12</xdr:col>
                    <xdr:colOff>742950</xdr:colOff>
                    <xdr:row>31</xdr:row>
                    <xdr:rowOff>38100</xdr:rowOff>
                  </from>
                  <to>
                    <xdr:col>29</xdr:col>
                    <xdr:colOff>200025</xdr:colOff>
                    <xdr:row>31</xdr:row>
                    <xdr:rowOff>266700</xdr:rowOff>
                  </to>
                </anchor>
              </controlPr>
            </control>
          </mc:Choice>
        </mc:AlternateContent>
        <mc:AlternateContent xmlns:mc="http://schemas.openxmlformats.org/markup-compatibility/2006">
          <mc:Choice Requires="x14">
            <control shapeId="5145" r:id="rId16" name="Drop Down 25">
              <controlPr defaultSize="0" autoLine="0" autoPict="0">
                <anchor moveWithCells="1">
                  <from>
                    <xdr:col>12</xdr:col>
                    <xdr:colOff>733425</xdr:colOff>
                    <xdr:row>32</xdr:row>
                    <xdr:rowOff>38100</xdr:rowOff>
                  </from>
                  <to>
                    <xdr:col>29</xdr:col>
                    <xdr:colOff>190500</xdr:colOff>
                    <xdr:row>32</xdr:row>
                    <xdr:rowOff>266700</xdr:rowOff>
                  </to>
                </anchor>
              </controlPr>
            </control>
          </mc:Choice>
        </mc:AlternateContent>
        <mc:AlternateContent xmlns:mc="http://schemas.openxmlformats.org/markup-compatibility/2006">
          <mc:Choice Requires="x14">
            <control shapeId="5146" r:id="rId17" name="Drop Down 26">
              <controlPr defaultSize="0" autoLine="0" autoPict="0">
                <anchor moveWithCells="1">
                  <from>
                    <xdr:col>12</xdr:col>
                    <xdr:colOff>733425</xdr:colOff>
                    <xdr:row>33</xdr:row>
                    <xdr:rowOff>47625</xdr:rowOff>
                  </from>
                  <to>
                    <xdr:col>29</xdr:col>
                    <xdr:colOff>190500</xdr:colOff>
                    <xdr:row>33</xdr:row>
                    <xdr:rowOff>276225</xdr:rowOff>
                  </to>
                </anchor>
              </controlPr>
            </control>
          </mc:Choice>
        </mc:AlternateContent>
        <mc:AlternateContent xmlns:mc="http://schemas.openxmlformats.org/markup-compatibility/2006">
          <mc:Choice Requires="x14">
            <control shapeId="5147" r:id="rId18" name="Drop Down 27">
              <controlPr defaultSize="0" autoLine="0" autoPict="0">
                <anchor moveWithCells="1">
                  <from>
                    <xdr:col>12</xdr:col>
                    <xdr:colOff>733425</xdr:colOff>
                    <xdr:row>34</xdr:row>
                    <xdr:rowOff>38100</xdr:rowOff>
                  </from>
                  <to>
                    <xdr:col>29</xdr:col>
                    <xdr:colOff>190500</xdr:colOff>
                    <xdr:row>34</xdr:row>
                    <xdr:rowOff>266700</xdr:rowOff>
                  </to>
                </anchor>
              </controlPr>
            </control>
          </mc:Choice>
        </mc:AlternateContent>
        <mc:AlternateContent xmlns:mc="http://schemas.openxmlformats.org/markup-compatibility/2006">
          <mc:Choice Requires="x14">
            <control shapeId="5148" r:id="rId19" name="Drop Down 28">
              <controlPr defaultSize="0" autoLine="0" autoPict="0">
                <anchor moveWithCells="1">
                  <from>
                    <xdr:col>12</xdr:col>
                    <xdr:colOff>733425</xdr:colOff>
                    <xdr:row>35</xdr:row>
                    <xdr:rowOff>38100</xdr:rowOff>
                  </from>
                  <to>
                    <xdr:col>29</xdr:col>
                    <xdr:colOff>190500</xdr:colOff>
                    <xdr:row>35</xdr:row>
                    <xdr:rowOff>266700</xdr:rowOff>
                  </to>
                </anchor>
              </controlPr>
            </control>
          </mc:Choice>
        </mc:AlternateContent>
        <mc:AlternateContent xmlns:mc="http://schemas.openxmlformats.org/markup-compatibility/2006">
          <mc:Choice Requires="x14">
            <control shapeId="5149" r:id="rId20" name="Drop Down 29">
              <controlPr defaultSize="0" autoLine="0" autoPict="0">
                <anchor moveWithCells="1">
                  <from>
                    <xdr:col>12</xdr:col>
                    <xdr:colOff>733425</xdr:colOff>
                    <xdr:row>36</xdr:row>
                    <xdr:rowOff>38100</xdr:rowOff>
                  </from>
                  <to>
                    <xdr:col>29</xdr:col>
                    <xdr:colOff>190500</xdr:colOff>
                    <xdr:row>36</xdr:row>
                    <xdr:rowOff>266700</xdr:rowOff>
                  </to>
                </anchor>
              </controlPr>
            </control>
          </mc:Choice>
        </mc:AlternateContent>
        <mc:AlternateContent xmlns:mc="http://schemas.openxmlformats.org/markup-compatibility/2006">
          <mc:Choice Requires="x14">
            <control shapeId="5150" r:id="rId21" name="Drop Down 30">
              <controlPr defaultSize="0" autoLine="0" autoPict="0">
                <anchor moveWithCells="1">
                  <from>
                    <xdr:col>12</xdr:col>
                    <xdr:colOff>733425</xdr:colOff>
                    <xdr:row>37</xdr:row>
                    <xdr:rowOff>47625</xdr:rowOff>
                  </from>
                  <to>
                    <xdr:col>29</xdr:col>
                    <xdr:colOff>190500</xdr:colOff>
                    <xdr:row>37</xdr:row>
                    <xdr:rowOff>276225</xdr:rowOff>
                  </to>
                </anchor>
              </controlPr>
            </control>
          </mc:Choice>
        </mc:AlternateContent>
        <mc:AlternateContent xmlns:mc="http://schemas.openxmlformats.org/markup-compatibility/2006">
          <mc:Choice Requires="x14">
            <control shapeId="5151" r:id="rId22" name="Drop Down 31">
              <controlPr defaultSize="0" autoLine="0" autoPict="0">
                <anchor moveWithCells="1">
                  <from>
                    <xdr:col>12</xdr:col>
                    <xdr:colOff>733425</xdr:colOff>
                    <xdr:row>38</xdr:row>
                    <xdr:rowOff>28575</xdr:rowOff>
                  </from>
                  <to>
                    <xdr:col>29</xdr:col>
                    <xdr:colOff>190500</xdr:colOff>
                    <xdr:row>38</xdr:row>
                    <xdr:rowOff>257175</xdr:rowOff>
                  </to>
                </anchor>
              </controlPr>
            </control>
          </mc:Choice>
        </mc:AlternateContent>
        <mc:AlternateContent xmlns:mc="http://schemas.openxmlformats.org/markup-compatibility/2006">
          <mc:Choice Requires="x14">
            <control shapeId="5152" r:id="rId23" name="Drop Down 32">
              <controlPr defaultSize="0" autoLine="0" autoPict="0">
                <anchor moveWithCells="1">
                  <from>
                    <xdr:col>12</xdr:col>
                    <xdr:colOff>733425</xdr:colOff>
                    <xdr:row>39</xdr:row>
                    <xdr:rowOff>28575</xdr:rowOff>
                  </from>
                  <to>
                    <xdr:col>29</xdr:col>
                    <xdr:colOff>190500</xdr:colOff>
                    <xdr:row>39</xdr:row>
                    <xdr:rowOff>257175</xdr:rowOff>
                  </to>
                </anchor>
              </controlPr>
            </control>
          </mc:Choice>
        </mc:AlternateContent>
        <mc:AlternateContent xmlns:mc="http://schemas.openxmlformats.org/markup-compatibility/2006">
          <mc:Choice Requires="x14">
            <control shapeId="5153" r:id="rId24" name="Drop Down 33">
              <controlPr defaultSize="0" autoLine="0" autoPict="0">
                <anchor moveWithCells="1">
                  <from>
                    <xdr:col>12</xdr:col>
                    <xdr:colOff>733425</xdr:colOff>
                    <xdr:row>40</xdr:row>
                    <xdr:rowOff>28575</xdr:rowOff>
                  </from>
                  <to>
                    <xdr:col>29</xdr:col>
                    <xdr:colOff>190500</xdr:colOff>
                    <xdr:row>40</xdr:row>
                    <xdr:rowOff>257175</xdr:rowOff>
                  </to>
                </anchor>
              </controlPr>
            </control>
          </mc:Choice>
        </mc:AlternateContent>
        <mc:AlternateContent xmlns:mc="http://schemas.openxmlformats.org/markup-compatibility/2006">
          <mc:Choice Requires="x14">
            <control shapeId="5154" r:id="rId25" name="Drop Down 34">
              <controlPr defaultSize="0" autoLine="0" autoPict="0">
                <anchor moveWithCells="1">
                  <from>
                    <xdr:col>12</xdr:col>
                    <xdr:colOff>733425</xdr:colOff>
                    <xdr:row>41</xdr:row>
                    <xdr:rowOff>28575</xdr:rowOff>
                  </from>
                  <to>
                    <xdr:col>29</xdr:col>
                    <xdr:colOff>190500</xdr:colOff>
                    <xdr:row>41</xdr:row>
                    <xdr:rowOff>257175</xdr:rowOff>
                  </to>
                </anchor>
              </controlPr>
            </control>
          </mc:Choice>
        </mc:AlternateContent>
        <mc:AlternateContent xmlns:mc="http://schemas.openxmlformats.org/markup-compatibility/2006">
          <mc:Choice Requires="x14">
            <control shapeId="5156" r:id="rId26" name="Drop Down 36">
              <controlPr defaultSize="0" autoLine="0" autoPict="0">
                <anchor moveWithCells="1">
                  <from>
                    <xdr:col>12</xdr:col>
                    <xdr:colOff>733425</xdr:colOff>
                    <xdr:row>42</xdr:row>
                    <xdr:rowOff>47625</xdr:rowOff>
                  </from>
                  <to>
                    <xdr:col>29</xdr:col>
                    <xdr:colOff>190500</xdr:colOff>
                    <xdr:row>42</xdr:row>
                    <xdr:rowOff>276225</xdr:rowOff>
                  </to>
                </anchor>
              </controlPr>
            </control>
          </mc:Choice>
        </mc:AlternateContent>
        <mc:AlternateContent xmlns:mc="http://schemas.openxmlformats.org/markup-compatibility/2006">
          <mc:Choice Requires="x14">
            <control shapeId="5157" r:id="rId27" name="Drop Down 37">
              <controlPr defaultSize="0" autoLine="0" autoPict="0">
                <anchor moveWithCells="1">
                  <from>
                    <xdr:col>12</xdr:col>
                    <xdr:colOff>733425</xdr:colOff>
                    <xdr:row>43</xdr:row>
                    <xdr:rowOff>38100</xdr:rowOff>
                  </from>
                  <to>
                    <xdr:col>29</xdr:col>
                    <xdr:colOff>190500</xdr:colOff>
                    <xdr:row>43</xdr:row>
                    <xdr:rowOff>266700</xdr:rowOff>
                  </to>
                </anchor>
              </controlPr>
            </control>
          </mc:Choice>
        </mc:AlternateContent>
        <mc:AlternateContent xmlns:mc="http://schemas.openxmlformats.org/markup-compatibility/2006">
          <mc:Choice Requires="x14">
            <control shapeId="5158" r:id="rId28" name="Drop Down 38">
              <controlPr defaultSize="0" autoLine="0" autoPict="0">
                <anchor moveWithCells="1">
                  <from>
                    <xdr:col>12</xdr:col>
                    <xdr:colOff>733425</xdr:colOff>
                    <xdr:row>44</xdr:row>
                    <xdr:rowOff>47625</xdr:rowOff>
                  </from>
                  <to>
                    <xdr:col>29</xdr:col>
                    <xdr:colOff>190500</xdr:colOff>
                    <xdr:row>44</xdr:row>
                    <xdr:rowOff>276225</xdr:rowOff>
                  </to>
                </anchor>
              </controlPr>
            </control>
          </mc:Choice>
        </mc:AlternateContent>
        <mc:AlternateContent xmlns:mc="http://schemas.openxmlformats.org/markup-compatibility/2006">
          <mc:Choice Requires="x14">
            <control shapeId="5159" r:id="rId29" name="Drop Down 39">
              <controlPr defaultSize="0" autoLine="0" autoPict="0">
                <anchor moveWithCells="1">
                  <from>
                    <xdr:col>12</xdr:col>
                    <xdr:colOff>733425</xdr:colOff>
                    <xdr:row>45</xdr:row>
                    <xdr:rowOff>38100</xdr:rowOff>
                  </from>
                  <to>
                    <xdr:col>29</xdr:col>
                    <xdr:colOff>190500</xdr:colOff>
                    <xdr:row>45</xdr:row>
                    <xdr:rowOff>266700</xdr:rowOff>
                  </to>
                </anchor>
              </controlPr>
            </control>
          </mc:Choice>
        </mc:AlternateContent>
        <mc:AlternateContent xmlns:mc="http://schemas.openxmlformats.org/markup-compatibility/2006">
          <mc:Choice Requires="x14">
            <control shapeId="5160" r:id="rId30" name="Drop Down 40">
              <controlPr defaultSize="0" autoLine="0" autoPict="0">
                <anchor moveWithCells="1">
                  <from>
                    <xdr:col>12</xdr:col>
                    <xdr:colOff>733425</xdr:colOff>
                    <xdr:row>46</xdr:row>
                    <xdr:rowOff>28575</xdr:rowOff>
                  </from>
                  <to>
                    <xdr:col>29</xdr:col>
                    <xdr:colOff>190500</xdr:colOff>
                    <xdr:row>46</xdr:row>
                    <xdr:rowOff>257175</xdr:rowOff>
                  </to>
                </anchor>
              </controlPr>
            </control>
          </mc:Choice>
        </mc:AlternateContent>
        <mc:AlternateContent xmlns:mc="http://schemas.openxmlformats.org/markup-compatibility/2006">
          <mc:Choice Requires="x14">
            <control shapeId="5161" r:id="rId31" name="Drop Down 41">
              <controlPr defaultSize="0" autoLine="0" autoPict="0">
                <anchor moveWithCells="1">
                  <from>
                    <xdr:col>12</xdr:col>
                    <xdr:colOff>733425</xdr:colOff>
                    <xdr:row>47</xdr:row>
                    <xdr:rowOff>19050</xdr:rowOff>
                  </from>
                  <to>
                    <xdr:col>29</xdr:col>
                    <xdr:colOff>190500</xdr:colOff>
                    <xdr:row>47</xdr:row>
                    <xdr:rowOff>247650</xdr:rowOff>
                  </to>
                </anchor>
              </controlPr>
            </control>
          </mc:Choice>
        </mc:AlternateContent>
        <mc:AlternateContent xmlns:mc="http://schemas.openxmlformats.org/markup-compatibility/2006">
          <mc:Choice Requires="x14">
            <control shapeId="5162" r:id="rId32" name="Drop Down 42">
              <controlPr defaultSize="0" autoLine="0" autoPict="0">
                <anchor moveWithCells="1">
                  <from>
                    <xdr:col>12</xdr:col>
                    <xdr:colOff>733425</xdr:colOff>
                    <xdr:row>48</xdr:row>
                    <xdr:rowOff>9525</xdr:rowOff>
                  </from>
                  <to>
                    <xdr:col>29</xdr:col>
                    <xdr:colOff>190500</xdr:colOff>
                    <xdr:row>48</xdr:row>
                    <xdr:rowOff>238125</xdr:rowOff>
                  </to>
                </anchor>
              </controlPr>
            </control>
          </mc:Choice>
        </mc:AlternateContent>
        <mc:AlternateContent xmlns:mc="http://schemas.openxmlformats.org/markup-compatibility/2006">
          <mc:Choice Requires="x14">
            <control shapeId="5163" r:id="rId33" name="Drop Down 43">
              <controlPr defaultSize="0" autoLine="0" autoPict="0">
                <anchor moveWithCells="1">
                  <from>
                    <xdr:col>12</xdr:col>
                    <xdr:colOff>733425</xdr:colOff>
                    <xdr:row>49</xdr:row>
                    <xdr:rowOff>19050</xdr:rowOff>
                  </from>
                  <to>
                    <xdr:col>29</xdr:col>
                    <xdr:colOff>190500</xdr:colOff>
                    <xdr:row>49</xdr:row>
                    <xdr:rowOff>247650</xdr:rowOff>
                  </to>
                </anchor>
              </controlPr>
            </control>
          </mc:Choice>
        </mc:AlternateContent>
        <mc:AlternateContent xmlns:mc="http://schemas.openxmlformats.org/markup-compatibility/2006">
          <mc:Choice Requires="x14">
            <control shapeId="5164" r:id="rId34" name="Drop Down 44">
              <controlPr defaultSize="0" autoLine="0" autoPict="0">
                <anchor moveWithCells="1">
                  <from>
                    <xdr:col>12</xdr:col>
                    <xdr:colOff>733425</xdr:colOff>
                    <xdr:row>50</xdr:row>
                    <xdr:rowOff>9525</xdr:rowOff>
                  </from>
                  <to>
                    <xdr:col>29</xdr:col>
                    <xdr:colOff>190500</xdr:colOff>
                    <xdr:row>50</xdr:row>
                    <xdr:rowOff>238125</xdr:rowOff>
                  </to>
                </anchor>
              </controlPr>
            </control>
          </mc:Choice>
        </mc:AlternateContent>
        <mc:AlternateContent xmlns:mc="http://schemas.openxmlformats.org/markup-compatibility/2006">
          <mc:Choice Requires="x14">
            <control shapeId="5165" r:id="rId35" name="Drop Down 45">
              <controlPr defaultSize="0" autoLine="0" autoPict="0">
                <anchor moveWithCells="1">
                  <from>
                    <xdr:col>12</xdr:col>
                    <xdr:colOff>733425</xdr:colOff>
                    <xdr:row>51</xdr:row>
                    <xdr:rowOff>28575</xdr:rowOff>
                  </from>
                  <to>
                    <xdr:col>29</xdr:col>
                    <xdr:colOff>190500</xdr:colOff>
                    <xdr:row>51</xdr:row>
                    <xdr:rowOff>257175</xdr:rowOff>
                  </to>
                </anchor>
              </controlPr>
            </control>
          </mc:Choice>
        </mc:AlternateContent>
        <mc:AlternateContent xmlns:mc="http://schemas.openxmlformats.org/markup-compatibility/2006">
          <mc:Choice Requires="x14">
            <control shapeId="5166" r:id="rId36" name="Drop Down 46">
              <controlPr defaultSize="0" autoLine="0" autoPict="0">
                <anchor moveWithCells="1">
                  <from>
                    <xdr:col>12</xdr:col>
                    <xdr:colOff>733425</xdr:colOff>
                    <xdr:row>52</xdr:row>
                    <xdr:rowOff>19050</xdr:rowOff>
                  </from>
                  <to>
                    <xdr:col>29</xdr:col>
                    <xdr:colOff>190500</xdr:colOff>
                    <xdr:row>52</xdr:row>
                    <xdr:rowOff>247650</xdr:rowOff>
                  </to>
                </anchor>
              </controlPr>
            </control>
          </mc:Choice>
        </mc:AlternateContent>
        <mc:AlternateContent xmlns:mc="http://schemas.openxmlformats.org/markup-compatibility/2006">
          <mc:Choice Requires="x14">
            <control shapeId="5167" r:id="rId37" name="Drop Down 47">
              <controlPr defaultSize="0" autoLine="0" autoPict="0">
                <anchor moveWithCells="1">
                  <from>
                    <xdr:col>12</xdr:col>
                    <xdr:colOff>733425</xdr:colOff>
                    <xdr:row>53</xdr:row>
                    <xdr:rowOff>38100</xdr:rowOff>
                  </from>
                  <to>
                    <xdr:col>29</xdr:col>
                    <xdr:colOff>190500</xdr:colOff>
                    <xdr:row>53</xdr:row>
                    <xdr:rowOff>266700</xdr:rowOff>
                  </to>
                </anchor>
              </controlPr>
            </control>
          </mc:Choice>
        </mc:AlternateContent>
        <mc:AlternateContent xmlns:mc="http://schemas.openxmlformats.org/markup-compatibility/2006">
          <mc:Choice Requires="x14">
            <control shapeId="5168" r:id="rId38" name="Drop Down 48">
              <controlPr defaultSize="0" autoLine="0" autoPict="0">
                <anchor moveWithCells="1">
                  <from>
                    <xdr:col>12</xdr:col>
                    <xdr:colOff>733425</xdr:colOff>
                    <xdr:row>54</xdr:row>
                    <xdr:rowOff>28575</xdr:rowOff>
                  </from>
                  <to>
                    <xdr:col>29</xdr:col>
                    <xdr:colOff>190500</xdr:colOff>
                    <xdr:row>54</xdr:row>
                    <xdr:rowOff>257175</xdr:rowOff>
                  </to>
                </anchor>
              </controlPr>
            </control>
          </mc:Choice>
        </mc:AlternateContent>
        <mc:AlternateContent xmlns:mc="http://schemas.openxmlformats.org/markup-compatibility/2006">
          <mc:Choice Requires="x14">
            <control shapeId="5169" r:id="rId39" name="Drop Down 49">
              <controlPr defaultSize="0" autoLine="0" autoPict="0">
                <anchor moveWithCells="1">
                  <from>
                    <xdr:col>12</xdr:col>
                    <xdr:colOff>733425</xdr:colOff>
                    <xdr:row>55</xdr:row>
                    <xdr:rowOff>28575</xdr:rowOff>
                  </from>
                  <to>
                    <xdr:col>29</xdr:col>
                    <xdr:colOff>190500</xdr:colOff>
                    <xdr:row>55</xdr:row>
                    <xdr:rowOff>257175</xdr:rowOff>
                  </to>
                </anchor>
              </controlPr>
            </control>
          </mc:Choice>
        </mc:AlternateContent>
        <mc:AlternateContent xmlns:mc="http://schemas.openxmlformats.org/markup-compatibility/2006">
          <mc:Choice Requires="x14">
            <control shapeId="5170" r:id="rId40" name="Drop Down 50">
              <controlPr defaultSize="0" autoLine="0" autoPict="0">
                <anchor moveWithCells="1">
                  <from>
                    <xdr:col>12</xdr:col>
                    <xdr:colOff>733425</xdr:colOff>
                    <xdr:row>56</xdr:row>
                    <xdr:rowOff>28575</xdr:rowOff>
                  </from>
                  <to>
                    <xdr:col>29</xdr:col>
                    <xdr:colOff>190500</xdr:colOff>
                    <xdr:row>56</xdr:row>
                    <xdr:rowOff>257175</xdr:rowOff>
                  </to>
                </anchor>
              </controlPr>
            </control>
          </mc:Choice>
        </mc:AlternateContent>
        <mc:AlternateContent xmlns:mc="http://schemas.openxmlformats.org/markup-compatibility/2006">
          <mc:Choice Requires="x14">
            <control shapeId="5171" r:id="rId41" name="Drop Down 51">
              <controlPr defaultSize="0" autoLine="0" autoPict="0">
                <anchor moveWithCells="1">
                  <from>
                    <xdr:col>12</xdr:col>
                    <xdr:colOff>733425</xdr:colOff>
                    <xdr:row>57</xdr:row>
                    <xdr:rowOff>19050</xdr:rowOff>
                  </from>
                  <to>
                    <xdr:col>29</xdr:col>
                    <xdr:colOff>190500</xdr:colOff>
                    <xdr:row>57</xdr:row>
                    <xdr:rowOff>247650</xdr:rowOff>
                  </to>
                </anchor>
              </controlPr>
            </control>
          </mc:Choice>
        </mc:AlternateContent>
        <mc:AlternateContent xmlns:mc="http://schemas.openxmlformats.org/markup-compatibility/2006">
          <mc:Choice Requires="x14">
            <control shapeId="5172" r:id="rId42" name="Drop Down 52">
              <controlPr defaultSize="0" autoLine="0" autoPict="0">
                <anchor moveWithCells="1">
                  <from>
                    <xdr:col>12</xdr:col>
                    <xdr:colOff>723900</xdr:colOff>
                    <xdr:row>58</xdr:row>
                    <xdr:rowOff>19050</xdr:rowOff>
                  </from>
                  <to>
                    <xdr:col>29</xdr:col>
                    <xdr:colOff>180975</xdr:colOff>
                    <xdr:row>58</xdr:row>
                    <xdr:rowOff>247650</xdr:rowOff>
                  </to>
                </anchor>
              </controlPr>
            </control>
          </mc:Choice>
        </mc:AlternateContent>
        <mc:AlternateContent xmlns:mc="http://schemas.openxmlformats.org/markup-compatibility/2006">
          <mc:Choice Requires="x14">
            <control shapeId="5173" r:id="rId43" name="Drop Down 53">
              <controlPr defaultSize="0" autoLine="0" autoPict="0">
                <anchor moveWithCells="1">
                  <from>
                    <xdr:col>12</xdr:col>
                    <xdr:colOff>733425</xdr:colOff>
                    <xdr:row>59</xdr:row>
                    <xdr:rowOff>19050</xdr:rowOff>
                  </from>
                  <to>
                    <xdr:col>29</xdr:col>
                    <xdr:colOff>190500</xdr:colOff>
                    <xdr:row>59</xdr:row>
                    <xdr:rowOff>247650</xdr:rowOff>
                  </to>
                </anchor>
              </controlPr>
            </control>
          </mc:Choice>
        </mc:AlternateContent>
        <mc:AlternateContent xmlns:mc="http://schemas.openxmlformats.org/markup-compatibility/2006">
          <mc:Choice Requires="x14">
            <control shapeId="5174" r:id="rId44" name="Drop Down 54">
              <controlPr defaultSize="0" autoLine="0" autoPict="0">
                <anchor moveWithCells="1">
                  <from>
                    <xdr:col>12</xdr:col>
                    <xdr:colOff>733425</xdr:colOff>
                    <xdr:row>60</xdr:row>
                    <xdr:rowOff>28575</xdr:rowOff>
                  </from>
                  <to>
                    <xdr:col>29</xdr:col>
                    <xdr:colOff>190500</xdr:colOff>
                    <xdr:row>60</xdr:row>
                    <xdr:rowOff>257175</xdr:rowOff>
                  </to>
                </anchor>
              </controlPr>
            </control>
          </mc:Choice>
        </mc:AlternateContent>
        <mc:AlternateContent xmlns:mc="http://schemas.openxmlformats.org/markup-compatibility/2006">
          <mc:Choice Requires="x14">
            <control shapeId="5175" r:id="rId45" name="Drop Down 55">
              <controlPr defaultSize="0" autoLine="0" autoPict="0">
                <anchor moveWithCells="1">
                  <from>
                    <xdr:col>12</xdr:col>
                    <xdr:colOff>733425</xdr:colOff>
                    <xdr:row>61</xdr:row>
                    <xdr:rowOff>28575</xdr:rowOff>
                  </from>
                  <to>
                    <xdr:col>29</xdr:col>
                    <xdr:colOff>190500</xdr:colOff>
                    <xdr:row>61</xdr:row>
                    <xdr:rowOff>257175</xdr:rowOff>
                  </to>
                </anchor>
              </controlPr>
            </control>
          </mc:Choice>
        </mc:AlternateContent>
        <mc:AlternateContent xmlns:mc="http://schemas.openxmlformats.org/markup-compatibility/2006">
          <mc:Choice Requires="x14">
            <control shapeId="5176" r:id="rId46" name="Drop Down 56">
              <controlPr defaultSize="0" autoLine="0" autoPict="0">
                <anchor moveWithCells="1">
                  <from>
                    <xdr:col>12</xdr:col>
                    <xdr:colOff>733425</xdr:colOff>
                    <xdr:row>62</xdr:row>
                    <xdr:rowOff>28575</xdr:rowOff>
                  </from>
                  <to>
                    <xdr:col>29</xdr:col>
                    <xdr:colOff>190500</xdr:colOff>
                    <xdr:row>62</xdr:row>
                    <xdr:rowOff>257175</xdr:rowOff>
                  </to>
                </anchor>
              </controlPr>
            </control>
          </mc:Choice>
        </mc:AlternateContent>
        <mc:AlternateContent xmlns:mc="http://schemas.openxmlformats.org/markup-compatibility/2006">
          <mc:Choice Requires="x14">
            <control shapeId="5177" r:id="rId47" name="Drop Down 57">
              <controlPr defaultSize="0" autoLine="0" autoPict="0">
                <anchor moveWithCells="1">
                  <from>
                    <xdr:col>12</xdr:col>
                    <xdr:colOff>733425</xdr:colOff>
                    <xdr:row>63</xdr:row>
                    <xdr:rowOff>28575</xdr:rowOff>
                  </from>
                  <to>
                    <xdr:col>29</xdr:col>
                    <xdr:colOff>190500</xdr:colOff>
                    <xdr:row>63</xdr:row>
                    <xdr:rowOff>257175</xdr:rowOff>
                  </to>
                </anchor>
              </controlPr>
            </control>
          </mc:Choice>
        </mc:AlternateContent>
        <mc:AlternateContent xmlns:mc="http://schemas.openxmlformats.org/markup-compatibility/2006">
          <mc:Choice Requires="x14">
            <control shapeId="5178" r:id="rId48" name="Drop Down 58">
              <controlPr defaultSize="0" autoLine="0" autoPict="0">
                <anchor moveWithCells="1">
                  <from>
                    <xdr:col>12</xdr:col>
                    <xdr:colOff>733425</xdr:colOff>
                    <xdr:row>64</xdr:row>
                    <xdr:rowOff>28575</xdr:rowOff>
                  </from>
                  <to>
                    <xdr:col>29</xdr:col>
                    <xdr:colOff>190500</xdr:colOff>
                    <xdr:row>64</xdr:row>
                    <xdr:rowOff>257175</xdr:rowOff>
                  </to>
                </anchor>
              </controlPr>
            </control>
          </mc:Choice>
        </mc:AlternateContent>
        <mc:AlternateContent xmlns:mc="http://schemas.openxmlformats.org/markup-compatibility/2006">
          <mc:Choice Requires="x14">
            <control shapeId="5179" r:id="rId49" name="Drop Down 59">
              <controlPr defaultSize="0" autoLine="0" autoPict="0">
                <anchor moveWithCells="1">
                  <from>
                    <xdr:col>12</xdr:col>
                    <xdr:colOff>733425</xdr:colOff>
                    <xdr:row>65</xdr:row>
                    <xdr:rowOff>38100</xdr:rowOff>
                  </from>
                  <to>
                    <xdr:col>29</xdr:col>
                    <xdr:colOff>190500</xdr:colOff>
                    <xdr:row>65</xdr:row>
                    <xdr:rowOff>266700</xdr:rowOff>
                  </to>
                </anchor>
              </controlPr>
            </control>
          </mc:Choice>
        </mc:AlternateContent>
        <mc:AlternateContent xmlns:mc="http://schemas.openxmlformats.org/markup-compatibility/2006">
          <mc:Choice Requires="x14">
            <control shapeId="5180" r:id="rId50" name="Drop Down 60">
              <controlPr defaultSize="0" autoLine="0" autoPict="0">
                <anchor moveWithCells="1">
                  <from>
                    <xdr:col>12</xdr:col>
                    <xdr:colOff>742950</xdr:colOff>
                    <xdr:row>66</xdr:row>
                    <xdr:rowOff>38100</xdr:rowOff>
                  </from>
                  <to>
                    <xdr:col>29</xdr:col>
                    <xdr:colOff>200025</xdr:colOff>
                    <xdr:row>66</xdr:row>
                    <xdr:rowOff>266700</xdr:rowOff>
                  </to>
                </anchor>
              </controlPr>
            </control>
          </mc:Choice>
        </mc:AlternateContent>
        <mc:AlternateContent xmlns:mc="http://schemas.openxmlformats.org/markup-compatibility/2006">
          <mc:Choice Requires="x14">
            <control shapeId="5181" r:id="rId51" name="Drop Down 61">
              <controlPr defaultSize="0" autoLine="0" autoPict="0">
                <anchor moveWithCells="1">
                  <from>
                    <xdr:col>12</xdr:col>
                    <xdr:colOff>742950</xdr:colOff>
                    <xdr:row>67</xdr:row>
                    <xdr:rowOff>28575</xdr:rowOff>
                  </from>
                  <to>
                    <xdr:col>29</xdr:col>
                    <xdr:colOff>200025</xdr:colOff>
                    <xdr:row>67</xdr:row>
                    <xdr:rowOff>257175</xdr:rowOff>
                  </to>
                </anchor>
              </controlPr>
            </control>
          </mc:Choice>
        </mc:AlternateContent>
        <mc:AlternateContent xmlns:mc="http://schemas.openxmlformats.org/markup-compatibility/2006">
          <mc:Choice Requires="x14">
            <control shapeId="5182" r:id="rId52" name="Drop Down 62">
              <controlPr defaultSize="0" autoLine="0" autoPict="0">
                <anchor moveWithCells="1">
                  <from>
                    <xdr:col>11</xdr:col>
                    <xdr:colOff>104775</xdr:colOff>
                    <xdr:row>19</xdr:row>
                    <xdr:rowOff>19050</xdr:rowOff>
                  </from>
                  <to>
                    <xdr:col>12</xdr:col>
                    <xdr:colOff>666750</xdr:colOff>
                    <xdr:row>19</xdr:row>
                    <xdr:rowOff>257175</xdr:rowOff>
                  </to>
                </anchor>
              </controlPr>
            </control>
          </mc:Choice>
        </mc:AlternateContent>
        <mc:AlternateContent xmlns:mc="http://schemas.openxmlformats.org/markup-compatibility/2006">
          <mc:Choice Requires="x14">
            <control shapeId="5183" r:id="rId53" name="Drop Down 63">
              <controlPr defaultSize="0" autoLine="0" autoPict="0">
                <anchor moveWithCells="1">
                  <from>
                    <xdr:col>11</xdr:col>
                    <xdr:colOff>104775</xdr:colOff>
                    <xdr:row>20</xdr:row>
                    <xdr:rowOff>28575</xdr:rowOff>
                  </from>
                  <to>
                    <xdr:col>12</xdr:col>
                    <xdr:colOff>666750</xdr:colOff>
                    <xdr:row>20</xdr:row>
                    <xdr:rowOff>266700</xdr:rowOff>
                  </to>
                </anchor>
              </controlPr>
            </control>
          </mc:Choice>
        </mc:AlternateContent>
        <mc:AlternateContent xmlns:mc="http://schemas.openxmlformats.org/markup-compatibility/2006">
          <mc:Choice Requires="x14">
            <control shapeId="5184" r:id="rId54" name="Drop Down 64">
              <controlPr defaultSize="0" autoLine="0" autoPict="0">
                <anchor moveWithCells="1">
                  <from>
                    <xdr:col>11</xdr:col>
                    <xdr:colOff>104775</xdr:colOff>
                    <xdr:row>21</xdr:row>
                    <xdr:rowOff>47625</xdr:rowOff>
                  </from>
                  <to>
                    <xdr:col>12</xdr:col>
                    <xdr:colOff>666750</xdr:colOff>
                    <xdr:row>22</xdr:row>
                    <xdr:rowOff>0</xdr:rowOff>
                  </to>
                </anchor>
              </controlPr>
            </control>
          </mc:Choice>
        </mc:AlternateContent>
        <mc:AlternateContent xmlns:mc="http://schemas.openxmlformats.org/markup-compatibility/2006">
          <mc:Choice Requires="x14">
            <control shapeId="5185" r:id="rId55" name="Drop Down 65">
              <controlPr defaultSize="0" autoLine="0" autoPict="0">
                <anchor moveWithCells="1">
                  <from>
                    <xdr:col>11</xdr:col>
                    <xdr:colOff>104775</xdr:colOff>
                    <xdr:row>22</xdr:row>
                    <xdr:rowOff>57150</xdr:rowOff>
                  </from>
                  <to>
                    <xdr:col>12</xdr:col>
                    <xdr:colOff>666750</xdr:colOff>
                    <xdr:row>23</xdr:row>
                    <xdr:rowOff>9525</xdr:rowOff>
                  </to>
                </anchor>
              </controlPr>
            </control>
          </mc:Choice>
        </mc:AlternateContent>
        <mc:AlternateContent xmlns:mc="http://schemas.openxmlformats.org/markup-compatibility/2006">
          <mc:Choice Requires="x14">
            <control shapeId="5186" r:id="rId56" name="Drop Down 66">
              <controlPr defaultSize="0" autoLine="0" autoPict="0">
                <anchor moveWithCells="1">
                  <from>
                    <xdr:col>11</xdr:col>
                    <xdr:colOff>104775</xdr:colOff>
                    <xdr:row>23</xdr:row>
                    <xdr:rowOff>47625</xdr:rowOff>
                  </from>
                  <to>
                    <xdr:col>12</xdr:col>
                    <xdr:colOff>666750</xdr:colOff>
                    <xdr:row>24</xdr:row>
                    <xdr:rowOff>0</xdr:rowOff>
                  </to>
                </anchor>
              </controlPr>
            </control>
          </mc:Choice>
        </mc:AlternateContent>
        <mc:AlternateContent xmlns:mc="http://schemas.openxmlformats.org/markup-compatibility/2006">
          <mc:Choice Requires="x14">
            <control shapeId="5187" r:id="rId57" name="Drop Down 67">
              <controlPr defaultSize="0" autoLine="0" autoPict="0">
                <anchor moveWithCells="1">
                  <from>
                    <xdr:col>11</xdr:col>
                    <xdr:colOff>104775</xdr:colOff>
                    <xdr:row>24</xdr:row>
                    <xdr:rowOff>57150</xdr:rowOff>
                  </from>
                  <to>
                    <xdr:col>12</xdr:col>
                    <xdr:colOff>666750</xdr:colOff>
                    <xdr:row>25</xdr:row>
                    <xdr:rowOff>0</xdr:rowOff>
                  </to>
                </anchor>
              </controlPr>
            </control>
          </mc:Choice>
        </mc:AlternateContent>
        <mc:AlternateContent xmlns:mc="http://schemas.openxmlformats.org/markup-compatibility/2006">
          <mc:Choice Requires="x14">
            <control shapeId="5188" r:id="rId58" name="Drop Down 68">
              <controlPr defaultSize="0" autoLine="0" autoPict="0">
                <anchor moveWithCells="1">
                  <from>
                    <xdr:col>11</xdr:col>
                    <xdr:colOff>104775</xdr:colOff>
                    <xdr:row>25</xdr:row>
                    <xdr:rowOff>38100</xdr:rowOff>
                  </from>
                  <to>
                    <xdr:col>12</xdr:col>
                    <xdr:colOff>666750</xdr:colOff>
                    <xdr:row>25</xdr:row>
                    <xdr:rowOff>276225</xdr:rowOff>
                  </to>
                </anchor>
              </controlPr>
            </control>
          </mc:Choice>
        </mc:AlternateContent>
        <mc:AlternateContent xmlns:mc="http://schemas.openxmlformats.org/markup-compatibility/2006">
          <mc:Choice Requires="x14">
            <control shapeId="5189" r:id="rId59" name="Drop Down 69">
              <controlPr defaultSize="0" autoLine="0" autoPict="0">
                <anchor moveWithCells="1">
                  <from>
                    <xdr:col>11</xdr:col>
                    <xdr:colOff>104775</xdr:colOff>
                    <xdr:row>26</xdr:row>
                    <xdr:rowOff>47625</xdr:rowOff>
                  </from>
                  <to>
                    <xdr:col>12</xdr:col>
                    <xdr:colOff>666750</xdr:colOff>
                    <xdr:row>27</xdr:row>
                    <xdr:rowOff>0</xdr:rowOff>
                  </to>
                </anchor>
              </controlPr>
            </control>
          </mc:Choice>
        </mc:AlternateContent>
        <mc:AlternateContent xmlns:mc="http://schemas.openxmlformats.org/markup-compatibility/2006">
          <mc:Choice Requires="x14">
            <control shapeId="5190" r:id="rId60" name="Drop Down 70">
              <controlPr defaultSize="0" autoLine="0" autoPict="0">
                <anchor moveWithCells="1">
                  <from>
                    <xdr:col>11</xdr:col>
                    <xdr:colOff>104775</xdr:colOff>
                    <xdr:row>27</xdr:row>
                    <xdr:rowOff>47625</xdr:rowOff>
                  </from>
                  <to>
                    <xdr:col>12</xdr:col>
                    <xdr:colOff>666750</xdr:colOff>
                    <xdr:row>28</xdr:row>
                    <xdr:rowOff>0</xdr:rowOff>
                  </to>
                </anchor>
              </controlPr>
            </control>
          </mc:Choice>
        </mc:AlternateContent>
        <mc:AlternateContent xmlns:mc="http://schemas.openxmlformats.org/markup-compatibility/2006">
          <mc:Choice Requires="x14">
            <control shapeId="5191" r:id="rId61" name="Drop Down 71">
              <controlPr defaultSize="0" autoLine="0" autoPict="0">
                <anchor moveWithCells="1">
                  <from>
                    <xdr:col>11</xdr:col>
                    <xdr:colOff>104775</xdr:colOff>
                    <xdr:row>28</xdr:row>
                    <xdr:rowOff>57150</xdr:rowOff>
                  </from>
                  <to>
                    <xdr:col>12</xdr:col>
                    <xdr:colOff>666750</xdr:colOff>
                    <xdr:row>29</xdr:row>
                    <xdr:rowOff>9525</xdr:rowOff>
                  </to>
                </anchor>
              </controlPr>
            </control>
          </mc:Choice>
        </mc:AlternateContent>
        <mc:AlternateContent xmlns:mc="http://schemas.openxmlformats.org/markup-compatibility/2006">
          <mc:Choice Requires="x14">
            <control shapeId="5192" r:id="rId62" name="Drop Down 72">
              <controlPr defaultSize="0" autoLine="0" autoPict="0">
                <anchor moveWithCells="1">
                  <from>
                    <xdr:col>11</xdr:col>
                    <xdr:colOff>104775</xdr:colOff>
                    <xdr:row>29</xdr:row>
                    <xdr:rowOff>47625</xdr:rowOff>
                  </from>
                  <to>
                    <xdr:col>12</xdr:col>
                    <xdr:colOff>666750</xdr:colOff>
                    <xdr:row>30</xdr:row>
                    <xdr:rowOff>0</xdr:rowOff>
                  </to>
                </anchor>
              </controlPr>
            </control>
          </mc:Choice>
        </mc:AlternateContent>
        <mc:AlternateContent xmlns:mc="http://schemas.openxmlformats.org/markup-compatibility/2006">
          <mc:Choice Requires="x14">
            <control shapeId="5193" r:id="rId63" name="Drop Down 73">
              <controlPr defaultSize="0" autoLine="0" autoPict="0">
                <anchor moveWithCells="1">
                  <from>
                    <xdr:col>11</xdr:col>
                    <xdr:colOff>104775</xdr:colOff>
                    <xdr:row>30</xdr:row>
                    <xdr:rowOff>57150</xdr:rowOff>
                  </from>
                  <to>
                    <xdr:col>12</xdr:col>
                    <xdr:colOff>666750</xdr:colOff>
                    <xdr:row>31</xdr:row>
                    <xdr:rowOff>0</xdr:rowOff>
                  </to>
                </anchor>
              </controlPr>
            </control>
          </mc:Choice>
        </mc:AlternateContent>
        <mc:AlternateContent xmlns:mc="http://schemas.openxmlformats.org/markup-compatibility/2006">
          <mc:Choice Requires="x14">
            <control shapeId="5195" r:id="rId64" name="Drop Down 75">
              <controlPr defaultSize="0" autoLine="0" autoPict="0">
                <anchor moveWithCells="1">
                  <from>
                    <xdr:col>11</xdr:col>
                    <xdr:colOff>104775</xdr:colOff>
                    <xdr:row>32</xdr:row>
                    <xdr:rowOff>19050</xdr:rowOff>
                  </from>
                  <to>
                    <xdr:col>12</xdr:col>
                    <xdr:colOff>666750</xdr:colOff>
                    <xdr:row>32</xdr:row>
                    <xdr:rowOff>257175</xdr:rowOff>
                  </to>
                </anchor>
              </controlPr>
            </control>
          </mc:Choice>
        </mc:AlternateContent>
        <mc:AlternateContent xmlns:mc="http://schemas.openxmlformats.org/markup-compatibility/2006">
          <mc:Choice Requires="x14">
            <control shapeId="5196" r:id="rId65" name="Drop Down 76">
              <controlPr defaultSize="0" autoLine="0" autoPict="0">
                <anchor moveWithCells="1">
                  <from>
                    <xdr:col>11</xdr:col>
                    <xdr:colOff>104775</xdr:colOff>
                    <xdr:row>33</xdr:row>
                    <xdr:rowOff>28575</xdr:rowOff>
                  </from>
                  <to>
                    <xdr:col>12</xdr:col>
                    <xdr:colOff>666750</xdr:colOff>
                    <xdr:row>33</xdr:row>
                    <xdr:rowOff>257175</xdr:rowOff>
                  </to>
                </anchor>
              </controlPr>
            </control>
          </mc:Choice>
        </mc:AlternateContent>
        <mc:AlternateContent xmlns:mc="http://schemas.openxmlformats.org/markup-compatibility/2006">
          <mc:Choice Requires="x14">
            <control shapeId="5197" r:id="rId66" name="Drop Down 77">
              <controlPr defaultSize="0" autoLine="0" autoPict="0">
                <anchor moveWithCells="1">
                  <from>
                    <xdr:col>11</xdr:col>
                    <xdr:colOff>104775</xdr:colOff>
                    <xdr:row>34</xdr:row>
                    <xdr:rowOff>19050</xdr:rowOff>
                  </from>
                  <to>
                    <xdr:col>12</xdr:col>
                    <xdr:colOff>666750</xdr:colOff>
                    <xdr:row>34</xdr:row>
                    <xdr:rowOff>257175</xdr:rowOff>
                  </to>
                </anchor>
              </controlPr>
            </control>
          </mc:Choice>
        </mc:AlternateContent>
        <mc:AlternateContent xmlns:mc="http://schemas.openxmlformats.org/markup-compatibility/2006">
          <mc:Choice Requires="x14">
            <control shapeId="5198" r:id="rId67" name="Drop Down 78">
              <controlPr defaultSize="0" autoLine="0" autoPict="0">
                <anchor moveWithCells="1">
                  <from>
                    <xdr:col>11</xdr:col>
                    <xdr:colOff>104775</xdr:colOff>
                    <xdr:row>35</xdr:row>
                    <xdr:rowOff>28575</xdr:rowOff>
                  </from>
                  <to>
                    <xdr:col>12</xdr:col>
                    <xdr:colOff>666750</xdr:colOff>
                    <xdr:row>35</xdr:row>
                    <xdr:rowOff>266700</xdr:rowOff>
                  </to>
                </anchor>
              </controlPr>
            </control>
          </mc:Choice>
        </mc:AlternateContent>
        <mc:AlternateContent xmlns:mc="http://schemas.openxmlformats.org/markup-compatibility/2006">
          <mc:Choice Requires="x14">
            <control shapeId="5199" r:id="rId68" name="Drop Down 79">
              <controlPr defaultSize="0" autoLine="0" autoPict="0">
                <anchor moveWithCells="1">
                  <from>
                    <xdr:col>11</xdr:col>
                    <xdr:colOff>104775</xdr:colOff>
                    <xdr:row>36</xdr:row>
                    <xdr:rowOff>28575</xdr:rowOff>
                  </from>
                  <to>
                    <xdr:col>12</xdr:col>
                    <xdr:colOff>666750</xdr:colOff>
                    <xdr:row>36</xdr:row>
                    <xdr:rowOff>266700</xdr:rowOff>
                  </to>
                </anchor>
              </controlPr>
            </control>
          </mc:Choice>
        </mc:AlternateContent>
        <mc:AlternateContent xmlns:mc="http://schemas.openxmlformats.org/markup-compatibility/2006">
          <mc:Choice Requires="x14">
            <control shapeId="5200" r:id="rId69" name="Drop Down 80">
              <controlPr defaultSize="0" autoLine="0" autoPict="0">
                <anchor moveWithCells="1">
                  <from>
                    <xdr:col>11</xdr:col>
                    <xdr:colOff>104775</xdr:colOff>
                    <xdr:row>37</xdr:row>
                    <xdr:rowOff>28575</xdr:rowOff>
                  </from>
                  <to>
                    <xdr:col>12</xdr:col>
                    <xdr:colOff>666750</xdr:colOff>
                    <xdr:row>37</xdr:row>
                    <xdr:rowOff>266700</xdr:rowOff>
                  </to>
                </anchor>
              </controlPr>
            </control>
          </mc:Choice>
        </mc:AlternateContent>
        <mc:AlternateContent xmlns:mc="http://schemas.openxmlformats.org/markup-compatibility/2006">
          <mc:Choice Requires="x14">
            <control shapeId="5201" r:id="rId70" name="Drop Down 81">
              <controlPr defaultSize="0" autoLine="0" autoPict="0">
                <anchor moveWithCells="1">
                  <from>
                    <xdr:col>11</xdr:col>
                    <xdr:colOff>104775</xdr:colOff>
                    <xdr:row>38</xdr:row>
                    <xdr:rowOff>28575</xdr:rowOff>
                  </from>
                  <to>
                    <xdr:col>12</xdr:col>
                    <xdr:colOff>666750</xdr:colOff>
                    <xdr:row>38</xdr:row>
                    <xdr:rowOff>266700</xdr:rowOff>
                  </to>
                </anchor>
              </controlPr>
            </control>
          </mc:Choice>
        </mc:AlternateContent>
        <mc:AlternateContent xmlns:mc="http://schemas.openxmlformats.org/markup-compatibility/2006">
          <mc:Choice Requires="x14">
            <control shapeId="5202" r:id="rId71" name="Drop Down 82">
              <controlPr defaultSize="0" autoLine="0" autoPict="0">
                <anchor moveWithCells="1">
                  <from>
                    <xdr:col>11</xdr:col>
                    <xdr:colOff>104775</xdr:colOff>
                    <xdr:row>39</xdr:row>
                    <xdr:rowOff>19050</xdr:rowOff>
                  </from>
                  <to>
                    <xdr:col>12</xdr:col>
                    <xdr:colOff>666750</xdr:colOff>
                    <xdr:row>39</xdr:row>
                    <xdr:rowOff>257175</xdr:rowOff>
                  </to>
                </anchor>
              </controlPr>
            </control>
          </mc:Choice>
        </mc:AlternateContent>
        <mc:AlternateContent xmlns:mc="http://schemas.openxmlformats.org/markup-compatibility/2006">
          <mc:Choice Requires="x14">
            <control shapeId="5203" r:id="rId72" name="Drop Down 83">
              <controlPr defaultSize="0" autoLine="0" autoPict="0">
                <anchor moveWithCells="1">
                  <from>
                    <xdr:col>11</xdr:col>
                    <xdr:colOff>104775</xdr:colOff>
                    <xdr:row>40</xdr:row>
                    <xdr:rowOff>19050</xdr:rowOff>
                  </from>
                  <to>
                    <xdr:col>12</xdr:col>
                    <xdr:colOff>666750</xdr:colOff>
                    <xdr:row>40</xdr:row>
                    <xdr:rowOff>257175</xdr:rowOff>
                  </to>
                </anchor>
              </controlPr>
            </control>
          </mc:Choice>
        </mc:AlternateContent>
        <mc:AlternateContent xmlns:mc="http://schemas.openxmlformats.org/markup-compatibility/2006">
          <mc:Choice Requires="x14">
            <control shapeId="5204" r:id="rId73" name="Drop Down 84">
              <controlPr defaultSize="0" autoLine="0" autoPict="0">
                <anchor moveWithCells="1">
                  <from>
                    <xdr:col>11</xdr:col>
                    <xdr:colOff>104775</xdr:colOff>
                    <xdr:row>41</xdr:row>
                    <xdr:rowOff>38100</xdr:rowOff>
                  </from>
                  <to>
                    <xdr:col>12</xdr:col>
                    <xdr:colOff>666750</xdr:colOff>
                    <xdr:row>41</xdr:row>
                    <xdr:rowOff>266700</xdr:rowOff>
                  </to>
                </anchor>
              </controlPr>
            </control>
          </mc:Choice>
        </mc:AlternateContent>
        <mc:AlternateContent xmlns:mc="http://schemas.openxmlformats.org/markup-compatibility/2006">
          <mc:Choice Requires="x14">
            <control shapeId="5205" r:id="rId74" name="Drop Down 85">
              <controlPr defaultSize="0" autoLine="0" autoPict="0">
                <anchor moveWithCells="1">
                  <from>
                    <xdr:col>11</xdr:col>
                    <xdr:colOff>104775</xdr:colOff>
                    <xdr:row>42</xdr:row>
                    <xdr:rowOff>28575</xdr:rowOff>
                  </from>
                  <to>
                    <xdr:col>12</xdr:col>
                    <xdr:colOff>666750</xdr:colOff>
                    <xdr:row>42</xdr:row>
                    <xdr:rowOff>266700</xdr:rowOff>
                  </to>
                </anchor>
              </controlPr>
            </control>
          </mc:Choice>
        </mc:AlternateContent>
        <mc:AlternateContent xmlns:mc="http://schemas.openxmlformats.org/markup-compatibility/2006">
          <mc:Choice Requires="x14">
            <control shapeId="5206" r:id="rId75" name="Drop Down 86">
              <controlPr defaultSize="0" autoLine="0" autoPict="0">
                <anchor moveWithCells="1">
                  <from>
                    <xdr:col>11</xdr:col>
                    <xdr:colOff>104775</xdr:colOff>
                    <xdr:row>43</xdr:row>
                    <xdr:rowOff>38100</xdr:rowOff>
                  </from>
                  <to>
                    <xdr:col>12</xdr:col>
                    <xdr:colOff>666750</xdr:colOff>
                    <xdr:row>43</xdr:row>
                    <xdr:rowOff>276225</xdr:rowOff>
                  </to>
                </anchor>
              </controlPr>
            </control>
          </mc:Choice>
        </mc:AlternateContent>
        <mc:AlternateContent xmlns:mc="http://schemas.openxmlformats.org/markup-compatibility/2006">
          <mc:Choice Requires="x14">
            <control shapeId="5207" r:id="rId76" name="Drop Down 87">
              <controlPr defaultSize="0" autoLine="0" autoPict="0">
                <anchor moveWithCells="1">
                  <from>
                    <xdr:col>11</xdr:col>
                    <xdr:colOff>104775</xdr:colOff>
                    <xdr:row>44</xdr:row>
                    <xdr:rowOff>28575</xdr:rowOff>
                  </from>
                  <to>
                    <xdr:col>12</xdr:col>
                    <xdr:colOff>666750</xdr:colOff>
                    <xdr:row>44</xdr:row>
                    <xdr:rowOff>257175</xdr:rowOff>
                  </to>
                </anchor>
              </controlPr>
            </control>
          </mc:Choice>
        </mc:AlternateContent>
        <mc:AlternateContent xmlns:mc="http://schemas.openxmlformats.org/markup-compatibility/2006">
          <mc:Choice Requires="x14">
            <control shapeId="5208" r:id="rId77" name="Drop Down 88">
              <controlPr defaultSize="0" autoLine="0" autoPict="0">
                <anchor moveWithCells="1">
                  <from>
                    <xdr:col>11</xdr:col>
                    <xdr:colOff>104775</xdr:colOff>
                    <xdr:row>45</xdr:row>
                    <xdr:rowOff>28575</xdr:rowOff>
                  </from>
                  <to>
                    <xdr:col>12</xdr:col>
                    <xdr:colOff>666750</xdr:colOff>
                    <xdr:row>45</xdr:row>
                    <xdr:rowOff>266700</xdr:rowOff>
                  </to>
                </anchor>
              </controlPr>
            </control>
          </mc:Choice>
        </mc:AlternateContent>
        <mc:AlternateContent xmlns:mc="http://schemas.openxmlformats.org/markup-compatibility/2006">
          <mc:Choice Requires="x14">
            <control shapeId="5209" r:id="rId78" name="Drop Down 89">
              <controlPr defaultSize="0" autoLine="0" autoPict="0">
                <anchor moveWithCells="1">
                  <from>
                    <xdr:col>11</xdr:col>
                    <xdr:colOff>104775</xdr:colOff>
                    <xdr:row>46</xdr:row>
                    <xdr:rowOff>19050</xdr:rowOff>
                  </from>
                  <to>
                    <xdr:col>12</xdr:col>
                    <xdr:colOff>666750</xdr:colOff>
                    <xdr:row>46</xdr:row>
                    <xdr:rowOff>257175</xdr:rowOff>
                  </to>
                </anchor>
              </controlPr>
            </control>
          </mc:Choice>
        </mc:AlternateContent>
        <mc:AlternateContent xmlns:mc="http://schemas.openxmlformats.org/markup-compatibility/2006">
          <mc:Choice Requires="x14">
            <control shapeId="5210" r:id="rId79" name="Drop Down 90">
              <controlPr defaultSize="0" autoLine="0" autoPict="0">
                <anchor moveWithCells="1">
                  <from>
                    <xdr:col>11</xdr:col>
                    <xdr:colOff>104775</xdr:colOff>
                    <xdr:row>47</xdr:row>
                    <xdr:rowOff>28575</xdr:rowOff>
                  </from>
                  <to>
                    <xdr:col>12</xdr:col>
                    <xdr:colOff>666750</xdr:colOff>
                    <xdr:row>47</xdr:row>
                    <xdr:rowOff>266700</xdr:rowOff>
                  </to>
                </anchor>
              </controlPr>
            </control>
          </mc:Choice>
        </mc:AlternateContent>
        <mc:AlternateContent xmlns:mc="http://schemas.openxmlformats.org/markup-compatibility/2006">
          <mc:Choice Requires="x14">
            <control shapeId="5211" r:id="rId80" name="Drop Down 91">
              <controlPr defaultSize="0" autoLine="0" autoPict="0">
                <anchor moveWithCells="1">
                  <from>
                    <xdr:col>11</xdr:col>
                    <xdr:colOff>104775</xdr:colOff>
                    <xdr:row>48</xdr:row>
                    <xdr:rowOff>19050</xdr:rowOff>
                  </from>
                  <to>
                    <xdr:col>12</xdr:col>
                    <xdr:colOff>666750</xdr:colOff>
                    <xdr:row>48</xdr:row>
                    <xdr:rowOff>257175</xdr:rowOff>
                  </to>
                </anchor>
              </controlPr>
            </control>
          </mc:Choice>
        </mc:AlternateContent>
        <mc:AlternateContent xmlns:mc="http://schemas.openxmlformats.org/markup-compatibility/2006">
          <mc:Choice Requires="x14">
            <control shapeId="5212" r:id="rId81" name="Drop Down 92">
              <controlPr defaultSize="0" autoLine="0" autoPict="0">
                <anchor moveWithCells="1">
                  <from>
                    <xdr:col>11</xdr:col>
                    <xdr:colOff>104775</xdr:colOff>
                    <xdr:row>49</xdr:row>
                    <xdr:rowOff>38100</xdr:rowOff>
                  </from>
                  <to>
                    <xdr:col>12</xdr:col>
                    <xdr:colOff>666750</xdr:colOff>
                    <xdr:row>49</xdr:row>
                    <xdr:rowOff>276225</xdr:rowOff>
                  </to>
                </anchor>
              </controlPr>
            </control>
          </mc:Choice>
        </mc:AlternateContent>
        <mc:AlternateContent xmlns:mc="http://schemas.openxmlformats.org/markup-compatibility/2006">
          <mc:Choice Requires="x14">
            <control shapeId="5213" r:id="rId82" name="Drop Down 93">
              <controlPr defaultSize="0" autoLine="0" autoPict="0">
                <anchor moveWithCells="1">
                  <from>
                    <xdr:col>11</xdr:col>
                    <xdr:colOff>104775</xdr:colOff>
                    <xdr:row>50</xdr:row>
                    <xdr:rowOff>38100</xdr:rowOff>
                  </from>
                  <to>
                    <xdr:col>12</xdr:col>
                    <xdr:colOff>666750</xdr:colOff>
                    <xdr:row>50</xdr:row>
                    <xdr:rowOff>266700</xdr:rowOff>
                  </to>
                </anchor>
              </controlPr>
            </control>
          </mc:Choice>
        </mc:AlternateContent>
        <mc:AlternateContent xmlns:mc="http://schemas.openxmlformats.org/markup-compatibility/2006">
          <mc:Choice Requires="x14">
            <control shapeId="5214" r:id="rId83" name="Drop Down 94">
              <controlPr defaultSize="0" autoLine="0" autoPict="0">
                <anchor moveWithCells="1">
                  <from>
                    <xdr:col>11</xdr:col>
                    <xdr:colOff>104775</xdr:colOff>
                    <xdr:row>51</xdr:row>
                    <xdr:rowOff>38100</xdr:rowOff>
                  </from>
                  <to>
                    <xdr:col>12</xdr:col>
                    <xdr:colOff>666750</xdr:colOff>
                    <xdr:row>51</xdr:row>
                    <xdr:rowOff>276225</xdr:rowOff>
                  </to>
                </anchor>
              </controlPr>
            </control>
          </mc:Choice>
        </mc:AlternateContent>
        <mc:AlternateContent xmlns:mc="http://schemas.openxmlformats.org/markup-compatibility/2006">
          <mc:Choice Requires="x14">
            <control shapeId="5215" r:id="rId84" name="Drop Down 95">
              <controlPr defaultSize="0" autoLine="0" autoPict="0">
                <anchor moveWithCells="1">
                  <from>
                    <xdr:col>11</xdr:col>
                    <xdr:colOff>104775</xdr:colOff>
                    <xdr:row>52</xdr:row>
                    <xdr:rowOff>28575</xdr:rowOff>
                  </from>
                  <to>
                    <xdr:col>12</xdr:col>
                    <xdr:colOff>666750</xdr:colOff>
                    <xdr:row>52</xdr:row>
                    <xdr:rowOff>266700</xdr:rowOff>
                  </to>
                </anchor>
              </controlPr>
            </control>
          </mc:Choice>
        </mc:AlternateContent>
        <mc:AlternateContent xmlns:mc="http://schemas.openxmlformats.org/markup-compatibility/2006">
          <mc:Choice Requires="x14">
            <control shapeId="5216" r:id="rId85" name="Drop Down 96">
              <controlPr defaultSize="0" autoLine="0" autoPict="0">
                <anchor moveWithCells="1">
                  <from>
                    <xdr:col>11</xdr:col>
                    <xdr:colOff>104775</xdr:colOff>
                    <xdr:row>53</xdr:row>
                    <xdr:rowOff>28575</xdr:rowOff>
                  </from>
                  <to>
                    <xdr:col>12</xdr:col>
                    <xdr:colOff>666750</xdr:colOff>
                    <xdr:row>53</xdr:row>
                    <xdr:rowOff>266700</xdr:rowOff>
                  </to>
                </anchor>
              </controlPr>
            </control>
          </mc:Choice>
        </mc:AlternateContent>
        <mc:AlternateContent xmlns:mc="http://schemas.openxmlformats.org/markup-compatibility/2006">
          <mc:Choice Requires="x14">
            <control shapeId="5217" r:id="rId86" name="Drop Down 97">
              <controlPr defaultSize="0" autoLine="0" autoPict="0">
                <anchor moveWithCells="1">
                  <from>
                    <xdr:col>11</xdr:col>
                    <xdr:colOff>104775</xdr:colOff>
                    <xdr:row>54</xdr:row>
                    <xdr:rowOff>19050</xdr:rowOff>
                  </from>
                  <to>
                    <xdr:col>12</xdr:col>
                    <xdr:colOff>666750</xdr:colOff>
                    <xdr:row>54</xdr:row>
                    <xdr:rowOff>257175</xdr:rowOff>
                  </to>
                </anchor>
              </controlPr>
            </control>
          </mc:Choice>
        </mc:AlternateContent>
        <mc:AlternateContent xmlns:mc="http://schemas.openxmlformats.org/markup-compatibility/2006">
          <mc:Choice Requires="x14">
            <control shapeId="5218" r:id="rId87" name="Drop Down 98">
              <controlPr defaultSize="0" autoLine="0" autoPict="0">
                <anchor moveWithCells="1">
                  <from>
                    <xdr:col>11</xdr:col>
                    <xdr:colOff>104775</xdr:colOff>
                    <xdr:row>55</xdr:row>
                    <xdr:rowOff>28575</xdr:rowOff>
                  </from>
                  <to>
                    <xdr:col>12</xdr:col>
                    <xdr:colOff>666750</xdr:colOff>
                    <xdr:row>55</xdr:row>
                    <xdr:rowOff>266700</xdr:rowOff>
                  </to>
                </anchor>
              </controlPr>
            </control>
          </mc:Choice>
        </mc:AlternateContent>
        <mc:AlternateContent xmlns:mc="http://schemas.openxmlformats.org/markup-compatibility/2006">
          <mc:Choice Requires="x14">
            <control shapeId="5219" r:id="rId88" name="Drop Down 99">
              <controlPr defaultSize="0" autoLine="0" autoPict="0">
                <anchor moveWithCells="1">
                  <from>
                    <xdr:col>11</xdr:col>
                    <xdr:colOff>104775</xdr:colOff>
                    <xdr:row>56</xdr:row>
                    <xdr:rowOff>28575</xdr:rowOff>
                  </from>
                  <to>
                    <xdr:col>12</xdr:col>
                    <xdr:colOff>666750</xdr:colOff>
                    <xdr:row>56</xdr:row>
                    <xdr:rowOff>266700</xdr:rowOff>
                  </to>
                </anchor>
              </controlPr>
            </control>
          </mc:Choice>
        </mc:AlternateContent>
        <mc:AlternateContent xmlns:mc="http://schemas.openxmlformats.org/markup-compatibility/2006">
          <mc:Choice Requires="x14">
            <control shapeId="5220" r:id="rId89" name="Drop Down 100">
              <controlPr defaultSize="0" autoLine="0" autoPict="0">
                <anchor moveWithCells="1">
                  <from>
                    <xdr:col>11</xdr:col>
                    <xdr:colOff>104775</xdr:colOff>
                    <xdr:row>57</xdr:row>
                    <xdr:rowOff>28575</xdr:rowOff>
                  </from>
                  <to>
                    <xdr:col>12</xdr:col>
                    <xdr:colOff>666750</xdr:colOff>
                    <xdr:row>57</xdr:row>
                    <xdr:rowOff>266700</xdr:rowOff>
                  </to>
                </anchor>
              </controlPr>
            </control>
          </mc:Choice>
        </mc:AlternateContent>
        <mc:AlternateContent xmlns:mc="http://schemas.openxmlformats.org/markup-compatibility/2006">
          <mc:Choice Requires="x14">
            <control shapeId="5221" r:id="rId90" name="Drop Down 101">
              <controlPr defaultSize="0" autoLine="0" autoPict="0">
                <anchor moveWithCells="1">
                  <from>
                    <xdr:col>11</xdr:col>
                    <xdr:colOff>104775</xdr:colOff>
                    <xdr:row>58</xdr:row>
                    <xdr:rowOff>19050</xdr:rowOff>
                  </from>
                  <to>
                    <xdr:col>12</xdr:col>
                    <xdr:colOff>666750</xdr:colOff>
                    <xdr:row>58</xdr:row>
                    <xdr:rowOff>247650</xdr:rowOff>
                  </to>
                </anchor>
              </controlPr>
            </control>
          </mc:Choice>
        </mc:AlternateContent>
        <mc:AlternateContent xmlns:mc="http://schemas.openxmlformats.org/markup-compatibility/2006">
          <mc:Choice Requires="x14">
            <control shapeId="5222" r:id="rId91" name="Drop Down 102">
              <controlPr defaultSize="0" autoLine="0" autoPict="0">
                <anchor moveWithCells="1">
                  <from>
                    <xdr:col>11</xdr:col>
                    <xdr:colOff>104775</xdr:colOff>
                    <xdr:row>59</xdr:row>
                    <xdr:rowOff>19050</xdr:rowOff>
                  </from>
                  <to>
                    <xdr:col>12</xdr:col>
                    <xdr:colOff>666750</xdr:colOff>
                    <xdr:row>59</xdr:row>
                    <xdr:rowOff>257175</xdr:rowOff>
                  </to>
                </anchor>
              </controlPr>
            </control>
          </mc:Choice>
        </mc:AlternateContent>
        <mc:AlternateContent xmlns:mc="http://schemas.openxmlformats.org/markup-compatibility/2006">
          <mc:Choice Requires="x14">
            <control shapeId="5223" r:id="rId92" name="Drop Down 103">
              <controlPr defaultSize="0" autoLine="0" autoPict="0">
                <anchor moveWithCells="1">
                  <from>
                    <xdr:col>11</xdr:col>
                    <xdr:colOff>104775</xdr:colOff>
                    <xdr:row>60</xdr:row>
                    <xdr:rowOff>19050</xdr:rowOff>
                  </from>
                  <to>
                    <xdr:col>12</xdr:col>
                    <xdr:colOff>666750</xdr:colOff>
                    <xdr:row>60</xdr:row>
                    <xdr:rowOff>257175</xdr:rowOff>
                  </to>
                </anchor>
              </controlPr>
            </control>
          </mc:Choice>
        </mc:AlternateContent>
        <mc:AlternateContent xmlns:mc="http://schemas.openxmlformats.org/markup-compatibility/2006">
          <mc:Choice Requires="x14">
            <control shapeId="5224" r:id="rId93" name="Drop Down 104">
              <controlPr defaultSize="0" autoLine="0" autoPict="0">
                <anchor moveWithCells="1">
                  <from>
                    <xdr:col>11</xdr:col>
                    <xdr:colOff>104775</xdr:colOff>
                    <xdr:row>61</xdr:row>
                    <xdr:rowOff>28575</xdr:rowOff>
                  </from>
                  <to>
                    <xdr:col>12</xdr:col>
                    <xdr:colOff>666750</xdr:colOff>
                    <xdr:row>61</xdr:row>
                    <xdr:rowOff>257175</xdr:rowOff>
                  </to>
                </anchor>
              </controlPr>
            </control>
          </mc:Choice>
        </mc:AlternateContent>
        <mc:AlternateContent xmlns:mc="http://schemas.openxmlformats.org/markup-compatibility/2006">
          <mc:Choice Requires="x14">
            <control shapeId="5225" r:id="rId94" name="Drop Down 105">
              <controlPr defaultSize="0" autoLine="0" autoPict="0">
                <anchor moveWithCells="1">
                  <from>
                    <xdr:col>11</xdr:col>
                    <xdr:colOff>104775</xdr:colOff>
                    <xdr:row>62</xdr:row>
                    <xdr:rowOff>28575</xdr:rowOff>
                  </from>
                  <to>
                    <xdr:col>12</xdr:col>
                    <xdr:colOff>666750</xdr:colOff>
                    <xdr:row>62</xdr:row>
                    <xdr:rowOff>266700</xdr:rowOff>
                  </to>
                </anchor>
              </controlPr>
            </control>
          </mc:Choice>
        </mc:AlternateContent>
        <mc:AlternateContent xmlns:mc="http://schemas.openxmlformats.org/markup-compatibility/2006">
          <mc:Choice Requires="x14">
            <control shapeId="5226" r:id="rId95" name="Drop Down 106">
              <controlPr defaultSize="0" autoLine="0" autoPict="0">
                <anchor moveWithCells="1">
                  <from>
                    <xdr:col>11</xdr:col>
                    <xdr:colOff>104775</xdr:colOff>
                    <xdr:row>63</xdr:row>
                    <xdr:rowOff>19050</xdr:rowOff>
                  </from>
                  <to>
                    <xdr:col>12</xdr:col>
                    <xdr:colOff>666750</xdr:colOff>
                    <xdr:row>63</xdr:row>
                    <xdr:rowOff>257175</xdr:rowOff>
                  </to>
                </anchor>
              </controlPr>
            </control>
          </mc:Choice>
        </mc:AlternateContent>
        <mc:AlternateContent xmlns:mc="http://schemas.openxmlformats.org/markup-compatibility/2006">
          <mc:Choice Requires="x14">
            <control shapeId="5227" r:id="rId96" name="Drop Down 107">
              <controlPr defaultSize="0" autoLine="0" autoPict="0">
                <anchor moveWithCells="1">
                  <from>
                    <xdr:col>11</xdr:col>
                    <xdr:colOff>104775</xdr:colOff>
                    <xdr:row>64</xdr:row>
                    <xdr:rowOff>19050</xdr:rowOff>
                  </from>
                  <to>
                    <xdr:col>12</xdr:col>
                    <xdr:colOff>666750</xdr:colOff>
                    <xdr:row>64</xdr:row>
                    <xdr:rowOff>257175</xdr:rowOff>
                  </to>
                </anchor>
              </controlPr>
            </control>
          </mc:Choice>
        </mc:AlternateContent>
        <mc:AlternateContent xmlns:mc="http://schemas.openxmlformats.org/markup-compatibility/2006">
          <mc:Choice Requires="x14">
            <control shapeId="5228" r:id="rId97" name="Drop Down 108">
              <controlPr defaultSize="0" autoLine="0" autoPict="0">
                <anchor moveWithCells="1">
                  <from>
                    <xdr:col>11</xdr:col>
                    <xdr:colOff>104775</xdr:colOff>
                    <xdr:row>65</xdr:row>
                    <xdr:rowOff>19050</xdr:rowOff>
                  </from>
                  <to>
                    <xdr:col>12</xdr:col>
                    <xdr:colOff>666750</xdr:colOff>
                    <xdr:row>65</xdr:row>
                    <xdr:rowOff>257175</xdr:rowOff>
                  </to>
                </anchor>
              </controlPr>
            </control>
          </mc:Choice>
        </mc:AlternateContent>
        <mc:AlternateContent xmlns:mc="http://schemas.openxmlformats.org/markup-compatibility/2006">
          <mc:Choice Requires="x14">
            <control shapeId="5230" r:id="rId98" name="Drop Down 110">
              <controlPr defaultSize="0" autoLine="0" autoPict="0">
                <anchor moveWithCells="1">
                  <from>
                    <xdr:col>11</xdr:col>
                    <xdr:colOff>104775</xdr:colOff>
                    <xdr:row>67</xdr:row>
                    <xdr:rowOff>38100</xdr:rowOff>
                  </from>
                  <to>
                    <xdr:col>12</xdr:col>
                    <xdr:colOff>666750</xdr:colOff>
                    <xdr:row>67</xdr:row>
                    <xdr:rowOff>266700</xdr:rowOff>
                  </to>
                </anchor>
              </controlPr>
            </control>
          </mc:Choice>
        </mc:AlternateContent>
        <mc:AlternateContent xmlns:mc="http://schemas.openxmlformats.org/markup-compatibility/2006">
          <mc:Choice Requires="x14">
            <control shapeId="5231" r:id="rId99" name="Drop Down 111">
              <controlPr defaultSize="0" autoLine="0" autoPict="0">
                <anchor moveWithCells="1">
                  <from>
                    <xdr:col>12</xdr:col>
                    <xdr:colOff>733425</xdr:colOff>
                    <xdr:row>19</xdr:row>
                    <xdr:rowOff>28575</xdr:rowOff>
                  </from>
                  <to>
                    <xdr:col>29</xdr:col>
                    <xdr:colOff>190500</xdr:colOff>
                    <xdr:row>19</xdr:row>
                    <xdr:rowOff>257175</xdr:rowOff>
                  </to>
                </anchor>
              </controlPr>
            </control>
          </mc:Choice>
        </mc:AlternateContent>
        <mc:AlternateContent xmlns:mc="http://schemas.openxmlformats.org/markup-compatibility/2006">
          <mc:Choice Requires="x14">
            <control shapeId="5415" r:id="rId100" name="Drop Down 295">
              <controlPr defaultSize="0" autoLine="0" autoPict="0">
                <anchor moveWithCells="1">
                  <from>
                    <xdr:col>11</xdr:col>
                    <xdr:colOff>104775</xdr:colOff>
                    <xdr:row>66</xdr:row>
                    <xdr:rowOff>28575</xdr:rowOff>
                  </from>
                  <to>
                    <xdr:col>12</xdr:col>
                    <xdr:colOff>666750</xdr:colOff>
                    <xdr:row>66</xdr:row>
                    <xdr:rowOff>266700</xdr:rowOff>
                  </to>
                </anchor>
              </controlPr>
            </control>
          </mc:Choice>
        </mc:AlternateContent>
        <mc:AlternateContent xmlns:mc="http://schemas.openxmlformats.org/markup-compatibility/2006">
          <mc:Choice Requires="x14">
            <control shapeId="5416" r:id="rId101" name="Drop Down 296">
              <controlPr defaultSize="0" autoLine="0" autoPict="0">
                <anchor moveWithCells="1">
                  <from>
                    <xdr:col>11</xdr:col>
                    <xdr:colOff>104775</xdr:colOff>
                    <xdr:row>31</xdr:row>
                    <xdr:rowOff>47625</xdr:rowOff>
                  </from>
                  <to>
                    <xdr:col>12</xdr:col>
                    <xdr:colOff>666750</xdr:colOff>
                    <xdr:row>31</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custom" allowBlank="1" showInputMessage="1" showErrorMessage="1" errorTitle="Buchungsblatt ist voll!" error="Es können keine weiteren Kassenbelege mehr verarbeitet werden, da eines der Buchungsblätter (Aufwand oder Ertrag) keine weiteren Belege mehr verarbeiten kann. Bitte führen Sie die Abrechnung der Handkasse durch!">
          <x14:formula1>
            <xm:f>AND('Buchungsblatt Aufwand'!$A$38=0,'Buchungsblatt Ertrag'!$A$38=0)</xm:f>
          </x14:formula1>
          <xm:sqref>D20:D39 D41 D43:D68</xm:sqref>
        </x14:dataValidation>
        <x14:dataValidation type="custom" errorStyle="warning" showErrorMessage="1" error="Es stehen nur noch wenige Zeilen in den Buchungsblättern (Aufwand oder Ertrag) zur Verfügung. Bitte führen Sie zeitnah eine Abrechnung des Kassenbuches durch." promptTitle="Eingabe" prompt="Es stehen nur noch wenige Zeilen in den Buchungsblättern (Aufwand oder Ertrag) zur Verfügung. Bitte führen Sie zeitnah eine Abrechnung des Kassenbuches durch.">
          <x14:formula1>
            <xm:f>AND('Buchungsblatt Aufwand'!$A$37=0,'Buchungsblatt Ertrag'!$A$37=0)</xm:f>
          </x14:formula1>
          <xm:sqref>G20:G68</xm:sqref>
        </x14:dataValidation>
        <x14:dataValidation type="custom" allowBlank="1" showInputMessage="1" showErrorMessage="1" errorTitle="Buchungsblatt ist voll!" error="Es können keine weiteren Kassenbelege mehr verarbeitet werden, da eines der Buchungsblätter (Aufwand oder Ertrag) keine weiteren Belege mehr verarbeiten kann. Bitte führen Sie die Abrechnung der Handkasse durch!">
          <x14:formula1>
            <xm:f>AND('Buchungsblatt Aufwand'!$A$38=0,'Buchungsblatt Ertrag'!$A$38=0)</xm:f>
          </x14:formula1>
          <xm:sqref>D40</xm:sqref>
        </x14:dataValidation>
        <x14:dataValidation type="custom" allowBlank="1" showInputMessage="1" showErrorMessage="1" errorTitle="Buchungsblatt ist voll!" error="Es können keine weiteren Kassenbelege mehr verarbeitet werden, da eines der Buchungsblätter (Aufwand oder Ertrag) keine weiteren Belege mehr verarbeiten kann. Bitte führen Sie die Abrechnung der Handkasse durch!">
          <x14:formula1>
            <xm:f>AND('Buchungsblatt Aufwand'!$A$38=0,'Buchungsblatt Ertrag'!$A$38=0)</xm:f>
          </x14:formula1>
          <xm:sqref>D42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6" tint="-0.249977111117893"/>
    <pageSetUpPr fitToPage="1"/>
  </sheetPr>
  <dimension ref="A1:I25"/>
  <sheetViews>
    <sheetView workbookViewId="0">
      <selection activeCell="H6" sqref="H6"/>
    </sheetView>
  </sheetViews>
  <sheetFormatPr baseColWidth="10" defaultColWidth="11.42578125" defaultRowHeight="18.75" x14ac:dyDescent="0.3"/>
  <cols>
    <col min="1" max="1" width="4" style="102" customWidth="1"/>
    <col min="2" max="2" width="14.85546875" style="103" bestFit="1" customWidth="1"/>
    <col min="3" max="7" width="11.42578125" style="103"/>
    <col min="8" max="8" width="18.7109375" style="103" customWidth="1"/>
    <col min="9" max="16384" width="11.42578125" style="103"/>
  </cols>
  <sheetData>
    <row r="1" spans="1:9" ht="24.75" customHeight="1" x14ac:dyDescent="0.3">
      <c r="C1" s="282" t="s">
        <v>9</v>
      </c>
      <c r="D1" s="282"/>
      <c r="E1" s="282"/>
      <c r="F1" s="124"/>
      <c r="G1" s="283"/>
      <c r="H1" s="284"/>
    </row>
    <row r="2" spans="1:9" ht="11.25" customHeight="1" x14ac:dyDescent="0.3">
      <c r="C2" s="282"/>
      <c r="D2" s="282"/>
      <c r="E2" s="282"/>
      <c r="F2" s="124"/>
      <c r="G2" s="285" t="str">
        <f>IF(Kassenbuch!$M$2="","","RT "&amp;VLOOKUP(Kassenbuch!$M$2,RT!$A$2:$G$500,4,FALSE))</f>
        <v/>
      </c>
      <c r="H2" s="285"/>
      <c r="I2" s="104"/>
    </row>
    <row r="3" spans="1:9" ht="11.25" customHeight="1" x14ac:dyDescent="0.3">
      <c r="C3" s="282"/>
      <c r="D3" s="282"/>
      <c r="E3" s="282"/>
      <c r="F3" s="124"/>
      <c r="G3" s="285"/>
      <c r="H3" s="285"/>
      <c r="I3" s="105"/>
    </row>
    <row r="4" spans="1:9" ht="18.75" customHeight="1" x14ac:dyDescent="0.3">
      <c r="C4" s="286" t="str">
        <f>IF(Kassenbuch!$M$2="","",VLOOKUP(Kassenbuch!$M$2,RT!$A$2:$G$500,2,FALSE))</f>
        <v/>
      </c>
      <c r="D4" s="286"/>
      <c r="E4" s="286"/>
      <c r="F4" s="286"/>
      <c r="G4" s="286"/>
      <c r="H4" s="286"/>
      <c r="I4" s="105"/>
    </row>
    <row r="5" spans="1:9" ht="12.75" customHeight="1" x14ac:dyDescent="0.3">
      <c r="C5" s="105"/>
      <c r="D5" s="105"/>
      <c r="E5" s="105"/>
      <c r="G5" s="106"/>
      <c r="H5" s="106"/>
      <c r="I5" s="105"/>
    </row>
    <row r="6" spans="1:9" s="107" customFormat="1" ht="27" customHeight="1" x14ac:dyDescent="0.2">
      <c r="B6" s="108" t="str">
        <f>IF(Kassenbuch!Q8=2,"Bestand Handkasse","Bestand Tagesabschluss")</f>
        <v>Bestand Tagesabschluss</v>
      </c>
      <c r="G6" s="109" t="s">
        <v>101</v>
      </c>
      <c r="H6" s="172"/>
    </row>
    <row r="8" spans="1:9" s="135" customFormat="1" ht="23.25" customHeight="1" x14ac:dyDescent="0.3">
      <c r="A8" s="102"/>
      <c r="B8" s="132" t="s">
        <v>105</v>
      </c>
      <c r="C8" s="133"/>
      <c r="D8" s="133"/>
      <c r="E8" s="134"/>
      <c r="F8" s="133"/>
      <c r="G8" s="133"/>
      <c r="H8" s="133"/>
    </row>
    <row r="9" spans="1:9" s="135" customFormat="1" ht="12.75" customHeight="1" x14ac:dyDescent="0.3">
      <c r="A9" s="102"/>
      <c r="B9" s="132"/>
      <c r="C9" s="133"/>
      <c r="D9" s="133"/>
      <c r="E9" s="134"/>
      <c r="F9" s="133"/>
      <c r="G9" s="133"/>
      <c r="H9" s="133"/>
    </row>
    <row r="10" spans="1:9" s="135" customFormat="1" ht="23.25" customHeight="1" thickBot="1" x14ac:dyDescent="0.35">
      <c r="A10" s="102"/>
      <c r="B10" s="132"/>
      <c r="C10" s="133"/>
      <c r="D10" s="133"/>
      <c r="E10" s="195" t="s">
        <v>220</v>
      </c>
      <c r="F10" s="103"/>
      <c r="G10" s="129"/>
      <c r="H10" s="130">
        <v>0</v>
      </c>
    </row>
    <row r="11" spans="1:9" ht="25.5" customHeight="1" thickTop="1" x14ac:dyDescent="0.25">
      <c r="A11" s="110"/>
      <c r="B11" s="111" t="s">
        <v>90</v>
      </c>
      <c r="C11" s="111"/>
      <c r="D11" s="111"/>
      <c r="E11" s="111"/>
      <c r="F11" s="112" t="s">
        <v>92</v>
      </c>
      <c r="G11" s="111"/>
      <c r="H11" s="113"/>
    </row>
    <row r="12" spans="1:9" ht="27.75" customHeight="1" x14ac:dyDescent="0.3">
      <c r="A12" s="114"/>
      <c r="B12" s="115" t="s">
        <v>102</v>
      </c>
      <c r="C12" s="116" t="s">
        <v>0</v>
      </c>
      <c r="D12" s="116" t="s">
        <v>89</v>
      </c>
      <c r="E12" s="113"/>
      <c r="F12" s="117" t="s">
        <v>102</v>
      </c>
      <c r="G12" s="116" t="s">
        <v>0</v>
      </c>
      <c r="H12" s="116" t="s">
        <v>89</v>
      </c>
    </row>
    <row r="13" spans="1:9" ht="18.75" customHeight="1" x14ac:dyDescent="0.3">
      <c r="B13" s="173"/>
      <c r="C13" s="118">
        <v>500</v>
      </c>
      <c r="D13" s="118">
        <f t="shared" ref="D13:D19" si="0">B13*C13</f>
        <v>0</v>
      </c>
      <c r="E13" s="113"/>
      <c r="F13" s="173"/>
      <c r="G13" s="118">
        <v>2</v>
      </c>
      <c r="H13" s="118">
        <f t="shared" ref="H13:H20" si="1">F13*G13</f>
        <v>0</v>
      </c>
    </row>
    <row r="14" spans="1:9" ht="18.75" customHeight="1" x14ac:dyDescent="0.3">
      <c r="B14" s="173"/>
      <c r="C14" s="118">
        <v>200</v>
      </c>
      <c r="D14" s="118">
        <f t="shared" si="0"/>
        <v>0</v>
      </c>
      <c r="E14" s="113"/>
      <c r="F14" s="173"/>
      <c r="G14" s="119">
        <v>1</v>
      </c>
      <c r="H14" s="118">
        <f t="shared" si="1"/>
        <v>0</v>
      </c>
    </row>
    <row r="15" spans="1:9" ht="18.75" customHeight="1" x14ac:dyDescent="0.3">
      <c r="B15" s="173"/>
      <c r="C15" s="118">
        <v>100</v>
      </c>
      <c r="D15" s="118">
        <f t="shared" si="0"/>
        <v>0</v>
      </c>
      <c r="E15" s="113"/>
      <c r="F15" s="173"/>
      <c r="G15" s="119">
        <v>0.5</v>
      </c>
      <c r="H15" s="118">
        <f t="shared" si="1"/>
        <v>0</v>
      </c>
    </row>
    <row r="16" spans="1:9" ht="18.75" customHeight="1" x14ac:dyDescent="0.3">
      <c r="B16" s="173"/>
      <c r="C16" s="118">
        <v>50</v>
      </c>
      <c r="D16" s="118">
        <f t="shared" si="0"/>
        <v>0</v>
      </c>
      <c r="E16" s="113"/>
      <c r="F16" s="173"/>
      <c r="G16" s="119">
        <v>0.2</v>
      </c>
      <c r="H16" s="118">
        <f t="shared" si="1"/>
        <v>0</v>
      </c>
    </row>
    <row r="17" spans="1:8" ht="18.75" customHeight="1" x14ac:dyDescent="0.3">
      <c r="B17" s="173"/>
      <c r="C17" s="118">
        <v>20</v>
      </c>
      <c r="D17" s="118">
        <f t="shared" si="0"/>
        <v>0</v>
      </c>
      <c r="E17" s="113"/>
      <c r="F17" s="173"/>
      <c r="G17" s="119">
        <v>0.1</v>
      </c>
      <c r="H17" s="118">
        <f t="shared" si="1"/>
        <v>0</v>
      </c>
    </row>
    <row r="18" spans="1:8" ht="18.75" customHeight="1" x14ac:dyDescent="0.3">
      <c r="B18" s="173"/>
      <c r="C18" s="118">
        <v>10</v>
      </c>
      <c r="D18" s="118">
        <f t="shared" si="0"/>
        <v>0</v>
      </c>
      <c r="E18" s="113"/>
      <c r="F18" s="173"/>
      <c r="G18" s="119">
        <v>0.05</v>
      </c>
      <c r="H18" s="118">
        <f t="shared" si="1"/>
        <v>0</v>
      </c>
    </row>
    <row r="19" spans="1:8" ht="18.75" customHeight="1" x14ac:dyDescent="0.3">
      <c r="B19" s="173"/>
      <c r="C19" s="118">
        <v>5</v>
      </c>
      <c r="D19" s="118">
        <f t="shared" si="0"/>
        <v>0</v>
      </c>
      <c r="E19" s="120"/>
      <c r="F19" s="173"/>
      <c r="G19" s="119">
        <v>0.02</v>
      </c>
      <c r="H19" s="118">
        <f t="shared" si="1"/>
        <v>0</v>
      </c>
    </row>
    <row r="20" spans="1:8" ht="18.75" customHeight="1" x14ac:dyDescent="0.3">
      <c r="B20" s="113"/>
      <c r="C20" s="113"/>
      <c r="D20" s="113"/>
      <c r="E20" s="113"/>
      <c r="F20" s="173"/>
      <c r="G20" s="119">
        <v>0.01</v>
      </c>
      <c r="H20" s="118">
        <f t="shared" si="1"/>
        <v>0</v>
      </c>
    </row>
    <row r="21" spans="1:8" ht="24" customHeight="1" x14ac:dyDescent="0.3">
      <c r="B21" s="113"/>
      <c r="C21" s="113"/>
      <c r="D21" s="113"/>
      <c r="E21" s="113"/>
      <c r="F21" s="281" t="s">
        <v>103</v>
      </c>
      <c r="G21" s="281"/>
      <c r="H21" s="174"/>
    </row>
    <row r="22" spans="1:8" ht="24" customHeight="1" x14ac:dyDescent="0.3">
      <c r="B22" s="111" t="s">
        <v>91</v>
      </c>
      <c r="C22" s="111"/>
      <c r="D22" s="121">
        <f>SUM(D13:D21)</f>
        <v>0</v>
      </c>
      <c r="E22" s="122"/>
      <c r="F22" s="123"/>
      <c r="G22" s="112" t="s">
        <v>92</v>
      </c>
      <c r="H22" s="121">
        <f>SUM(H13:H21)</f>
        <v>0</v>
      </c>
    </row>
    <row r="23" spans="1:8" s="189" customFormat="1" ht="29.25" hidden="1" customHeight="1" x14ac:dyDescent="0.2">
      <c r="A23" s="182"/>
      <c r="B23" s="183"/>
      <c r="C23" s="183"/>
      <c r="D23" s="184"/>
      <c r="E23" s="185"/>
      <c r="F23" s="186"/>
      <c r="G23" s="187" t="s">
        <v>156</v>
      </c>
      <c r="H23" s="188"/>
    </row>
    <row r="24" spans="1:8" s="131" customFormat="1" ht="33.75" customHeight="1" thickBot="1" x14ac:dyDescent="0.3">
      <c r="A24" s="125"/>
      <c r="B24" s="126"/>
      <c r="C24" s="126"/>
      <c r="D24" s="126"/>
      <c r="E24" s="127"/>
      <c r="F24" s="128"/>
      <c r="G24" s="129" t="s">
        <v>104</v>
      </c>
      <c r="H24" s="130">
        <f>SUM(H22:H23,D22)</f>
        <v>0</v>
      </c>
    </row>
    <row r="25" spans="1:8" ht="19.5" thickTop="1" x14ac:dyDescent="0.3"/>
  </sheetData>
  <sheetProtection algorithmName="SHA-512" hashValue="DiARARo/q0hXWwh28IdLX9IYgxA4FNuAm8Yk5cHlyrOGB+AgNlTbC6p8kk7xnTb8Lz83nto5nWMFVtE05ngMYg==" saltValue="5SKChaMXjtkc2x4/LQF7tA==" spinCount="100000" sheet="1" objects="1" scenarios="1" selectLockedCells="1"/>
  <mergeCells count="5">
    <mergeCell ref="F21:G21"/>
    <mergeCell ref="C1:E3"/>
    <mergeCell ref="G1:H1"/>
    <mergeCell ref="G2:H3"/>
    <mergeCell ref="C4:H4"/>
  </mergeCells>
  <pageMargins left="0.70866141732283472" right="0.70866141732283472" top="0.43307086614173229" bottom="0.39370078740157483" header="0.15748031496062992" footer="0.15748031496062992"/>
  <pageSetup paperSize="9" scale="94" orientation="portrait" blackAndWhite="1" r:id="rId1"/>
  <headerFooter>
    <oddFooter>&amp;L&amp;7Stand: &amp;D&amp;R&amp;7Datei: &amp;F</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3" id="{0BFE3DD7-F9D3-4455-815C-485C1A5BDF55}">
            <xm:f>Kassenbuch!$Q$8=2</xm:f>
            <x14:dxf>
              <font>
                <color theme="0"/>
              </font>
              <border>
                <left/>
                <right/>
                <top/>
                <bottom/>
              </border>
            </x14:dxf>
          </x14:cfRule>
          <xm:sqref>E10:H10</xm:sqref>
        </x14:conditionalFormatting>
        <x14:conditionalFormatting xmlns:xm="http://schemas.microsoft.com/office/excel/2006/main">
          <x14:cfRule type="expression" priority="2" id="{F7EEF03E-A7FB-4B59-9424-E0565C653F8C}">
            <xm:f>Kassenbuch!$Q$8=1</xm:f>
            <x14:dxf>
              <font>
                <color theme="0"/>
              </font>
              <border>
                <left/>
                <right/>
                <top/>
                <bottom/>
                <vertical/>
                <horizontal/>
              </border>
            </x14:dxf>
          </x14:cfRule>
          <xm:sqref>B11:H24</xm:sqref>
        </x14:conditionalFormatting>
        <x14:conditionalFormatting xmlns:xm="http://schemas.microsoft.com/office/excel/2006/main">
          <x14:cfRule type="expression" priority="1" id="{BB77DB14-AFD4-4056-ABDA-A3D5809EF2A4}">
            <xm:f>Kassenbuch!$Q$8=1</xm:f>
            <x14:dxf>
              <fill>
                <patternFill patternType="none">
                  <bgColor auto="1"/>
                </patternFill>
              </fill>
            </x14:dxf>
          </x14:cfRule>
          <xm:sqref>H21 F13:F20 B13:B19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tabColor rgb="FFD99795"/>
    <pageSetUpPr fitToPage="1"/>
  </sheetPr>
  <dimension ref="A2:S64"/>
  <sheetViews>
    <sheetView showGridLines="0" zoomScaleNormal="100" workbookViewId="0">
      <selection activeCell="B10" sqref="B10:I10"/>
    </sheetView>
  </sheetViews>
  <sheetFormatPr baseColWidth="10" defaultColWidth="11.42578125" defaultRowHeight="12.75" x14ac:dyDescent="0.2"/>
  <cols>
    <col min="1" max="1" width="20.7109375" style="46" customWidth="1"/>
    <col min="2" max="3" width="8" style="46" customWidth="1"/>
    <col min="4" max="4" width="0.85546875" style="46" customWidth="1"/>
    <col min="5" max="6" width="8" style="46" customWidth="1"/>
    <col min="7" max="7" width="0.85546875" style="46" customWidth="1"/>
    <col min="8" max="9" width="8" style="46" customWidth="1"/>
    <col min="10" max="10" width="26.42578125" style="46" customWidth="1"/>
    <col min="11" max="11" width="2.7109375" style="46" customWidth="1"/>
    <col min="12" max="12" width="22.5703125" style="46" hidden="1" customWidth="1"/>
    <col min="13" max="13" width="6.140625" style="46" hidden="1" customWidth="1"/>
    <col min="14" max="14" width="21.42578125" style="46" hidden="1" customWidth="1"/>
    <col min="15" max="15" width="11.42578125" style="46" hidden="1" customWidth="1"/>
    <col min="16" max="16384" width="11.42578125" style="46"/>
  </cols>
  <sheetData>
    <row r="2" spans="1:19" ht="12.75" customHeight="1" x14ac:dyDescent="0.2">
      <c r="B2" s="294" t="s">
        <v>9</v>
      </c>
      <c r="C2" s="294"/>
      <c r="D2" s="294"/>
      <c r="E2" s="294"/>
      <c r="H2" s="236"/>
      <c r="I2" s="295" t="str">
        <f>IF(Kassenbuch!$M$2="","",VLOOKUP(Kassenbuch!$M$2,RT!$A$2:$G$500,5,FALSE))</f>
        <v/>
      </c>
      <c r="J2" s="295"/>
    </row>
    <row r="3" spans="1:19" ht="12.75" customHeight="1" x14ac:dyDescent="0.2">
      <c r="B3" s="294"/>
      <c r="C3" s="294"/>
      <c r="D3" s="294"/>
      <c r="E3" s="294"/>
      <c r="F3" s="236"/>
      <c r="G3" s="236"/>
      <c r="H3" s="236"/>
      <c r="I3" s="295"/>
      <c r="J3" s="295"/>
    </row>
    <row r="4" spans="1:19" ht="12.75" customHeight="1" x14ac:dyDescent="0.2">
      <c r="B4" s="294"/>
      <c r="C4" s="294"/>
      <c r="D4" s="294"/>
      <c r="E4" s="294"/>
      <c r="F4" s="236"/>
      <c r="G4" s="236"/>
      <c r="H4" s="236"/>
      <c r="I4" s="295"/>
      <c r="J4" s="295"/>
    </row>
    <row r="5" spans="1:19" ht="21.75" customHeight="1" x14ac:dyDescent="0.2">
      <c r="B5" s="296" t="str">
        <f>IF(Kassenbuch!$M$2="","",VLOOKUP(Kassenbuch!$M$2,RT!$A$2:$G$500,2,FALSE))</f>
        <v/>
      </c>
      <c r="C5" s="296"/>
      <c r="D5" s="296"/>
      <c r="E5" s="296"/>
      <c r="F5" s="296"/>
      <c r="G5" s="296"/>
      <c r="H5" s="296"/>
      <c r="I5" s="296"/>
      <c r="J5" s="296"/>
    </row>
    <row r="6" spans="1:19" s="237" customFormat="1" ht="10.5" customHeight="1" x14ac:dyDescent="0.2">
      <c r="C6" s="238"/>
      <c r="D6" s="238"/>
    </row>
    <row r="7" spans="1:19" s="84" customFormat="1" ht="30" customHeight="1" x14ac:dyDescent="0.2">
      <c r="B7" s="239" t="s">
        <v>31</v>
      </c>
      <c r="P7" s="46"/>
      <c r="Q7" s="46"/>
      <c r="R7" s="46"/>
      <c r="S7" s="46"/>
    </row>
    <row r="8" spans="1:19" s="242" customFormat="1" ht="29.25" customHeight="1" x14ac:dyDescent="0.2">
      <c r="A8" s="240"/>
      <c r="B8" s="297"/>
      <c r="C8" s="297"/>
      <c r="D8" s="297"/>
      <c r="E8" s="297"/>
      <c r="F8" s="297"/>
      <c r="G8" s="297"/>
      <c r="H8" s="297"/>
      <c r="I8" s="297"/>
      <c r="J8" s="241"/>
      <c r="P8" s="237"/>
      <c r="Q8" s="237"/>
      <c r="R8" s="237"/>
      <c r="S8" s="237"/>
    </row>
    <row r="9" spans="1:19" s="242" customFormat="1" ht="30" customHeight="1" x14ac:dyDescent="0.2">
      <c r="A9" s="243" t="s">
        <v>32</v>
      </c>
      <c r="B9" s="298" t="str">
        <f>IF(Kassenbuch!$M$2&lt;&gt;"","HK "&amp;VLOOKUP(Kassenbuch!$M$2,RT!$A$2:$G$500,4,FALSE),"")</f>
        <v/>
      </c>
      <c r="C9" s="298"/>
      <c r="D9" s="244"/>
      <c r="E9" s="299" t="str">
        <f>IF(Kassenbuch!$M$2&lt;&gt;"",VLOOKUP(Kassenbuch!$M$2,RT!$A$2:$G$500,2,FALSE),"")</f>
        <v/>
      </c>
      <c r="F9" s="299"/>
      <c r="G9" s="299"/>
      <c r="H9" s="299"/>
      <c r="I9" s="299"/>
      <c r="J9" s="299"/>
      <c r="P9" s="237"/>
      <c r="Q9" s="237"/>
      <c r="R9" s="237"/>
      <c r="S9" s="237"/>
    </row>
    <row r="10" spans="1:19" s="84" customFormat="1" ht="30" customHeight="1" x14ac:dyDescent="0.2">
      <c r="A10" s="85" t="s">
        <v>2</v>
      </c>
      <c r="B10" s="300"/>
      <c r="C10" s="300"/>
      <c r="D10" s="300"/>
      <c r="E10" s="300"/>
      <c r="F10" s="300"/>
      <c r="G10" s="300"/>
      <c r="H10" s="300"/>
      <c r="I10" s="300"/>
      <c r="J10" s="87"/>
      <c r="P10" s="46"/>
      <c r="Q10" s="46"/>
      <c r="R10" s="46"/>
      <c r="S10" s="46"/>
    </row>
    <row r="11" spans="1:19" s="84" customFormat="1" ht="25.5" customHeight="1" x14ac:dyDescent="0.25">
      <c r="A11" s="246" t="s">
        <v>1</v>
      </c>
      <c r="B11" s="23"/>
      <c r="C11" s="23"/>
      <c r="D11" s="301"/>
      <c r="E11" s="301"/>
      <c r="F11" s="23"/>
      <c r="G11" s="301"/>
      <c r="H11" s="301"/>
      <c r="I11" s="23"/>
      <c r="J11" s="83"/>
      <c r="K11" s="225"/>
      <c r="P11" s="46"/>
      <c r="Q11" s="46"/>
      <c r="R11" s="46"/>
      <c r="S11" s="46"/>
    </row>
    <row r="12" spans="1:19" s="84" customFormat="1" ht="4.5" customHeight="1" x14ac:dyDescent="0.2">
      <c r="A12" s="78"/>
      <c r="B12" s="79"/>
      <c r="C12" s="80"/>
      <c r="D12" s="81"/>
      <c r="E12" s="82"/>
      <c r="F12" s="80"/>
      <c r="G12" s="81"/>
      <c r="H12" s="82"/>
      <c r="I12" s="80"/>
      <c r="J12" s="83"/>
      <c r="K12" s="225"/>
      <c r="P12" s="46"/>
      <c r="Q12" s="46"/>
      <c r="R12" s="46"/>
      <c r="S12" s="46"/>
    </row>
    <row r="13" spans="1:19" s="84" customFormat="1" ht="14.25" customHeight="1" x14ac:dyDescent="0.2">
      <c r="A13" s="85"/>
      <c r="B13" s="86"/>
      <c r="C13" s="86"/>
      <c r="D13" s="86"/>
      <c r="E13" s="86"/>
      <c r="F13" s="86"/>
      <c r="G13" s="86"/>
      <c r="H13" s="86"/>
      <c r="I13" s="86"/>
      <c r="J13" s="87"/>
      <c r="P13" s="46"/>
      <c r="Q13" s="46"/>
      <c r="R13" s="46"/>
      <c r="S13" s="46"/>
    </row>
    <row r="14" spans="1:19" s="84" customFormat="1" ht="40.5" customHeight="1" x14ac:dyDescent="0.2">
      <c r="A14" s="88" t="s">
        <v>80</v>
      </c>
      <c r="B14" s="89"/>
      <c r="C14" s="89"/>
      <c r="D14" s="89"/>
      <c r="E14" s="89"/>
      <c r="F14" s="89"/>
      <c r="G14" s="89"/>
      <c r="H14" s="89"/>
      <c r="I14" s="89"/>
      <c r="J14" s="89"/>
      <c r="P14" s="46"/>
      <c r="Q14" s="46"/>
      <c r="R14" s="46"/>
      <c r="S14" s="46"/>
    </row>
    <row r="15" spans="1:19" s="90" customFormat="1" ht="25.5" customHeight="1" x14ac:dyDescent="0.2">
      <c r="A15" s="228" t="s">
        <v>0</v>
      </c>
      <c r="B15" s="288" t="s">
        <v>3</v>
      </c>
      <c r="C15" s="288"/>
      <c r="D15" s="227"/>
      <c r="E15" s="289" t="s">
        <v>76</v>
      </c>
      <c r="F15" s="290"/>
      <c r="G15" s="227"/>
      <c r="H15" s="291" t="s">
        <v>75</v>
      </c>
      <c r="I15" s="292"/>
      <c r="J15" s="293"/>
      <c r="L15" s="287" t="s">
        <v>99</v>
      </c>
      <c r="M15" s="287"/>
      <c r="N15" s="287"/>
      <c r="O15" s="287"/>
      <c r="P15" s="92"/>
      <c r="Q15" s="92"/>
      <c r="R15" s="92"/>
      <c r="S15" s="92"/>
    </row>
    <row r="16" spans="1:19" s="90" customFormat="1" ht="25.5" customHeight="1" x14ac:dyDescent="0.2">
      <c r="A16" s="91" t="str">
        <f>IF(N16="","",SUMIF(Kassenbuch!$T$20:$T$68,$N16,Kassenbuch!$V$20:$V$68))</f>
        <v/>
      </c>
      <c r="B16" s="302" t="str">
        <f>IF(N16&lt;&gt;"",IF(O16=0,O16&amp;RIGHT(N16,LEN(N16)-6),RIGHT(N16,LEN(N16)-6)),"")</f>
        <v/>
      </c>
      <c r="C16" s="303"/>
      <c r="D16" s="30"/>
      <c r="E16" s="304" t="str">
        <f>IF(N16="","",VALUE(LEFT($N16,6)))</f>
        <v/>
      </c>
      <c r="F16" s="303"/>
      <c r="G16" s="92"/>
      <c r="H16" s="307" t="str">
        <f>IF(E16="","",VLOOKUP($E16,SaKoAufwandBuchungsblatt,3,FALSE))</f>
        <v/>
      </c>
      <c r="I16" s="307"/>
      <c r="J16" s="307"/>
      <c r="L16" s="202" t="str">
        <f>IF(ISERROR(SMALL(Kassenbuch!$T$20:$T$68,1)),"",SMALL(Kassenbuch!$T$20:$T$68,1))</f>
        <v/>
      </c>
      <c r="M16" s="94" t="str">
        <f>IF(L16="","",COUNTIF(Kassenbuch!$T$20:$T$68,L16))</f>
        <v/>
      </c>
      <c r="N16" s="202" t="str">
        <f>IF(COUNTIF(M$16:M$64,"&gt;0")&lt;1,"",SMALL(L$16:L$64,SMALL(M$16:M$64,1)))</f>
        <v/>
      </c>
      <c r="O16" s="95" t="str">
        <f t="shared" ref="O16:O31" si="0">IF(N16&lt;&gt;"",VALUE(VLOOKUP(N16,Matrix,2,FALSE)),"")</f>
        <v/>
      </c>
      <c r="P16" s="92"/>
      <c r="Q16" s="92"/>
      <c r="R16" s="92"/>
      <c r="S16" s="92"/>
    </row>
    <row r="17" spans="1:19" s="90" customFormat="1" ht="25.5" customHeight="1" x14ac:dyDescent="0.2">
      <c r="A17" s="91" t="str">
        <f>IF(N17="","",SUMIF(Kassenbuch!$T$20:$T$68,$N17,Kassenbuch!$V$20:$V$68))</f>
        <v/>
      </c>
      <c r="B17" s="302" t="str">
        <f t="shared" ref="B17:B31" si="1">IF(N17&lt;&gt;"",IF(O17=0,O17&amp;RIGHT(N17,LEN(N17)-6),RIGHT(N17,LEN(N17)-6)),"")</f>
        <v/>
      </c>
      <c r="C17" s="303"/>
      <c r="D17" s="29"/>
      <c r="E17" s="304" t="str">
        <f t="shared" ref="E17:E31" si="2">IF(N17="","",VALUE(LEFT($N17,6)))</f>
        <v/>
      </c>
      <c r="F17" s="303"/>
      <c r="G17" s="30"/>
      <c r="H17" s="307" t="str">
        <f t="shared" ref="H17:H31" si="3">IF(E17="","",VLOOKUP($E17,SaKoAufwandBuchungsblatt,3,FALSE))</f>
        <v/>
      </c>
      <c r="I17" s="307"/>
      <c r="J17" s="307"/>
      <c r="L17" s="202" t="str">
        <f>IF(ISERROR(SMALL(Kassenbuch!$T$20:$T$68,2)),"",SMALL(Kassenbuch!$T$20:$T$68,2))</f>
        <v/>
      </c>
      <c r="M17" s="94" t="str">
        <f>IF(OR(L17="",L17=L16),"",MAX(M$16:M16)+COUNTIF(Kassenbuch!$T$20:$T$68,L17))</f>
        <v/>
      </c>
      <c r="N17" s="202" t="str">
        <f>IF(COUNTIF(M$7:M$64,"&gt;0")&lt;2,"",SMALL(L$7:L$64,SMALL(M$7:M$64,2)))</f>
        <v/>
      </c>
      <c r="O17" s="95" t="str">
        <f t="shared" si="0"/>
        <v/>
      </c>
      <c r="P17" s="92"/>
      <c r="Q17" s="92"/>
      <c r="R17" s="92"/>
      <c r="S17" s="92"/>
    </row>
    <row r="18" spans="1:19" s="90" customFormat="1" ht="25.5" customHeight="1" x14ac:dyDescent="0.2">
      <c r="A18" s="91" t="str">
        <f>IF(N18="","",SUMIF(Kassenbuch!$T$20:$T$68,$N18,Kassenbuch!$V$20:$V$68))</f>
        <v/>
      </c>
      <c r="B18" s="302" t="str">
        <f t="shared" si="1"/>
        <v/>
      </c>
      <c r="C18" s="303"/>
      <c r="D18" s="29"/>
      <c r="E18" s="304" t="str">
        <f t="shared" si="2"/>
        <v/>
      </c>
      <c r="F18" s="303"/>
      <c r="G18" s="30"/>
      <c r="H18" s="307" t="str">
        <f t="shared" si="3"/>
        <v/>
      </c>
      <c r="I18" s="307"/>
      <c r="J18" s="307"/>
      <c r="L18" s="202" t="str">
        <f>IF(ISERROR(SMALL(Kassenbuch!$T$20:$T$68,3)),"",SMALL(Kassenbuch!$T$20:$T$68,3))</f>
        <v/>
      </c>
      <c r="M18" s="94" t="str">
        <f>IF(OR(L18="",L18=L17),"",MAX(M$16:M17)+COUNTIF(Kassenbuch!$T$20:$T$68,L18))</f>
        <v/>
      </c>
      <c r="N18" s="202" t="str">
        <f>IF(COUNTIF(M$7:M$64,"&gt;0")&lt;3,"",SMALL(L$7:L$64,SMALL(M$7:M$64,3)))</f>
        <v/>
      </c>
      <c r="O18" s="95" t="str">
        <f t="shared" si="0"/>
        <v/>
      </c>
      <c r="P18" s="92"/>
      <c r="Q18" s="92"/>
      <c r="R18" s="92"/>
      <c r="S18" s="92"/>
    </row>
    <row r="19" spans="1:19" s="90" customFormat="1" ht="25.5" customHeight="1" x14ac:dyDescent="0.2">
      <c r="A19" s="91" t="str">
        <f>IF(N19="","",SUMIF(Kassenbuch!$T$20:$T$68,$N19,Kassenbuch!$V$20:$V$68))</f>
        <v/>
      </c>
      <c r="B19" s="302" t="str">
        <f t="shared" si="1"/>
        <v/>
      </c>
      <c r="C19" s="303"/>
      <c r="D19" s="29"/>
      <c r="E19" s="304" t="str">
        <f t="shared" si="2"/>
        <v/>
      </c>
      <c r="F19" s="303"/>
      <c r="G19" s="30"/>
      <c r="H19" s="307" t="str">
        <f t="shared" si="3"/>
        <v/>
      </c>
      <c r="I19" s="307"/>
      <c r="J19" s="307"/>
      <c r="L19" s="202" t="str">
        <f>IF(ISERROR(SMALL(Kassenbuch!$T$20:$T$68,4)),"",SMALL(Kassenbuch!$T$20:$T$68,4))</f>
        <v/>
      </c>
      <c r="M19" s="94" t="str">
        <f>IF(OR(L19="",L19=L18),"",MAX(M$16:M18)+COUNTIF(Kassenbuch!$T$20:$T$68,L19))</f>
        <v/>
      </c>
      <c r="N19" s="202" t="str">
        <f>IF(COUNTIF(M$7:M$64,"&gt;0")&lt;4,"",SMALL(L$7:L$64,SMALL(M$7:M$64,4)))</f>
        <v/>
      </c>
      <c r="O19" s="95" t="str">
        <f t="shared" si="0"/>
        <v/>
      </c>
      <c r="P19" s="92"/>
      <c r="Q19" s="92"/>
      <c r="R19" s="92"/>
      <c r="S19" s="92"/>
    </row>
    <row r="20" spans="1:19" s="90" customFormat="1" ht="25.5" customHeight="1" x14ac:dyDescent="0.2">
      <c r="A20" s="91" t="str">
        <f>IF(N20="","",SUMIF(Kassenbuch!$T$20:$T$68,$N20,Kassenbuch!$V$20:$V$68))</f>
        <v/>
      </c>
      <c r="B20" s="302" t="str">
        <f t="shared" si="1"/>
        <v/>
      </c>
      <c r="C20" s="303"/>
      <c r="D20" s="29"/>
      <c r="E20" s="304" t="str">
        <f t="shared" si="2"/>
        <v/>
      </c>
      <c r="F20" s="303"/>
      <c r="G20" s="30"/>
      <c r="H20" s="307" t="str">
        <f t="shared" si="3"/>
        <v/>
      </c>
      <c r="I20" s="307"/>
      <c r="J20" s="307"/>
      <c r="L20" s="202" t="str">
        <f>IF(ISERROR(SMALL(Kassenbuch!$T$20:$T$68,5)),"",SMALL(Kassenbuch!$T$20:$T$68,5))</f>
        <v/>
      </c>
      <c r="M20" s="94" t="str">
        <f>IF(OR(L20="",L20=L19),"",MAX(M$16:M19)+COUNTIF(Kassenbuch!$T$20:$T$68,L20))</f>
        <v/>
      </c>
      <c r="N20" s="202" t="str">
        <f>IF(COUNTIF(M$7:M$64,"&gt;0")&lt;5,"",SMALL(L$7:L$64,SMALL(M$7:M$64,5)))</f>
        <v/>
      </c>
      <c r="O20" s="95" t="str">
        <f t="shared" si="0"/>
        <v/>
      </c>
      <c r="P20" s="92"/>
      <c r="Q20" s="92"/>
      <c r="R20" s="92"/>
      <c r="S20" s="92"/>
    </row>
    <row r="21" spans="1:19" s="90" customFormat="1" ht="25.5" customHeight="1" x14ac:dyDescent="0.2">
      <c r="A21" s="91" t="str">
        <f>IF(N21="","",SUMIF(Kassenbuch!$T$20:$T$68,$N21,Kassenbuch!$V$20:$V$68))</f>
        <v/>
      </c>
      <c r="B21" s="302" t="str">
        <f t="shared" si="1"/>
        <v/>
      </c>
      <c r="C21" s="303"/>
      <c r="D21" s="29"/>
      <c r="E21" s="304" t="str">
        <f t="shared" si="2"/>
        <v/>
      </c>
      <c r="F21" s="303"/>
      <c r="G21" s="30"/>
      <c r="H21" s="307" t="str">
        <f t="shared" si="3"/>
        <v/>
      </c>
      <c r="I21" s="307"/>
      <c r="J21" s="307"/>
      <c r="L21" s="202" t="str">
        <f>IF(ISERROR(SMALL(Kassenbuch!$T$20:$T$68,6)),"",SMALL(Kassenbuch!$T$20:$T$68,6))</f>
        <v/>
      </c>
      <c r="M21" s="94" t="str">
        <f>IF(OR(L21="",L21=L20),"",MAX(M$16:M20)+COUNTIF(Kassenbuch!$T$20:$T$68,L21))</f>
        <v/>
      </c>
      <c r="N21" s="202" t="str">
        <f>IF(COUNTIF(M$7:M$64,"&gt;0")&lt;6,"",SMALL(L$7:L$64,SMALL(M$7:M$64,6)))</f>
        <v/>
      </c>
      <c r="O21" s="95" t="str">
        <f t="shared" si="0"/>
        <v/>
      </c>
      <c r="P21" s="92"/>
      <c r="Q21" s="92"/>
      <c r="R21" s="92"/>
      <c r="S21" s="92"/>
    </row>
    <row r="22" spans="1:19" s="90" customFormat="1" ht="25.5" customHeight="1" x14ac:dyDescent="0.2">
      <c r="A22" s="91" t="str">
        <f>IF(N22="","",SUMIF(Kassenbuch!$T$20:$T$68,$N22,Kassenbuch!$V$20:$V$68))</f>
        <v/>
      </c>
      <c r="B22" s="302" t="str">
        <f t="shared" si="1"/>
        <v/>
      </c>
      <c r="C22" s="303"/>
      <c r="D22" s="29"/>
      <c r="E22" s="304" t="str">
        <f t="shared" si="2"/>
        <v/>
      </c>
      <c r="F22" s="303"/>
      <c r="G22" s="30"/>
      <c r="H22" s="307" t="str">
        <f t="shared" si="3"/>
        <v/>
      </c>
      <c r="I22" s="307"/>
      <c r="J22" s="307"/>
      <c r="L22" s="202" t="str">
        <f>IF(ISERROR(SMALL(Kassenbuch!$T$20:$T$68,7)),"",SMALL(Kassenbuch!$T$20:$T$68,7))</f>
        <v/>
      </c>
      <c r="M22" s="94" t="str">
        <f>IF(OR(L22="",L22=L21),"",MAX(M$16:M21)+COUNTIF(Kassenbuch!$T$20:$T$68,L22))</f>
        <v/>
      </c>
      <c r="N22" s="202" t="str">
        <f>IF(COUNTIF(M$7:M$64,"&gt;0")&lt;7,"",SMALL(L$7:L$64,SMALL(M$7:M$64,7)))</f>
        <v/>
      </c>
      <c r="O22" s="95" t="str">
        <f t="shared" si="0"/>
        <v/>
      </c>
      <c r="P22" s="92"/>
      <c r="Q22" s="92"/>
      <c r="R22" s="92"/>
      <c r="S22" s="92"/>
    </row>
    <row r="23" spans="1:19" s="90" customFormat="1" ht="25.5" customHeight="1" x14ac:dyDescent="0.2">
      <c r="A23" s="91" t="str">
        <f>IF(N23="","",SUMIF(Kassenbuch!$T$20:$T$68,$N23,Kassenbuch!$V$20:$V$68))</f>
        <v/>
      </c>
      <c r="B23" s="302" t="str">
        <f t="shared" si="1"/>
        <v/>
      </c>
      <c r="C23" s="303"/>
      <c r="D23" s="29"/>
      <c r="E23" s="304" t="str">
        <f t="shared" si="2"/>
        <v/>
      </c>
      <c r="F23" s="303"/>
      <c r="G23" s="30"/>
      <c r="H23" s="307" t="str">
        <f t="shared" si="3"/>
        <v/>
      </c>
      <c r="I23" s="307"/>
      <c r="J23" s="307"/>
      <c r="L23" s="202" t="str">
        <f>IF(ISERROR(SMALL(Kassenbuch!$T$20:$T$68,8)),"",SMALL(Kassenbuch!$T$20:$T$68,8))</f>
        <v/>
      </c>
      <c r="M23" s="94" t="str">
        <f>IF(OR(L23="",L23=L22),"",MAX(M$16:M22)+COUNTIF(Kassenbuch!$T$20:$T$68,L23))</f>
        <v/>
      </c>
      <c r="N23" s="202" t="str">
        <f>IF(COUNTIF(M$7:M$64,"&gt;0")&lt;8,"",SMALL(L$7:L$64,SMALL(M$7:M$64,8)))</f>
        <v/>
      </c>
      <c r="O23" s="95" t="str">
        <f t="shared" si="0"/>
        <v/>
      </c>
      <c r="P23" s="92"/>
      <c r="Q23" s="92"/>
      <c r="R23" s="92"/>
      <c r="S23" s="92"/>
    </row>
    <row r="24" spans="1:19" s="90" customFormat="1" ht="25.5" customHeight="1" x14ac:dyDescent="0.2">
      <c r="A24" s="91" t="str">
        <f>IF(N24="","",SUMIF(Kassenbuch!$T$20:$T$68,$N24,Kassenbuch!$V$20:$V$68))</f>
        <v/>
      </c>
      <c r="B24" s="302" t="str">
        <f t="shared" si="1"/>
        <v/>
      </c>
      <c r="C24" s="303"/>
      <c r="D24" s="29"/>
      <c r="E24" s="304" t="str">
        <f t="shared" si="2"/>
        <v/>
      </c>
      <c r="F24" s="303"/>
      <c r="G24" s="30"/>
      <c r="H24" s="307" t="str">
        <f t="shared" si="3"/>
        <v/>
      </c>
      <c r="I24" s="307"/>
      <c r="J24" s="307"/>
      <c r="L24" s="202" t="str">
        <f>IF(ISERROR(SMALL(Kassenbuch!$T$20:$T$68,9)),"",SMALL(Kassenbuch!$T$20:$T$68,9))</f>
        <v/>
      </c>
      <c r="M24" s="94" t="str">
        <f>IF(OR(L24="",L24=L23),"",MAX(M$16:M23)+COUNTIF(Kassenbuch!$T$20:$T$68,L24))</f>
        <v/>
      </c>
      <c r="N24" s="202" t="str">
        <f>IF(COUNTIF(M$7:M$64,"&gt;0")&lt;9,"",SMALL(L$7:L$64,SMALL(M$7:M$64,9)))</f>
        <v/>
      </c>
      <c r="O24" s="95" t="str">
        <f t="shared" si="0"/>
        <v/>
      </c>
      <c r="P24" s="92"/>
      <c r="Q24" s="92"/>
      <c r="R24" s="92"/>
      <c r="S24" s="92"/>
    </row>
    <row r="25" spans="1:19" s="90" customFormat="1" ht="25.5" customHeight="1" x14ac:dyDescent="0.2">
      <c r="A25" s="91" t="str">
        <f>IF(N25="","",SUMIF(Kassenbuch!$T$20:$T$68,$N25,Kassenbuch!$V$20:$V$68))</f>
        <v/>
      </c>
      <c r="B25" s="302" t="str">
        <f t="shared" si="1"/>
        <v/>
      </c>
      <c r="C25" s="303"/>
      <c r="D25" s="29"/>
      <c r="E25" s="304" t="str">
        <f t="shared" si="2"/>
        <v/>
      </c>
      <c r="F25" s="303"/>
      <c r="G25" s="30"/>
      <c r="H25" s="307" t="str">
        <f t="shared" si="3"/>
        <v/>
      </c>
      <c r="I25" s="307"/>
      <c r="J25" s="307"/>
      <c r="L25" s="202" t="str">
        <f>IF(ISERROR(SMALL(Kassenbuch!$T$20:$T$68,10)),"",SMALL(Kassenbuch!$T$20:$T$68,10))</f>
        <v/>
      </c>
      <c r="M25" s="94" t="str">
        <f>IF(OR(L25="",L25=L24),"",MAX(M$16:M24)+COUNTIF(Kassenbuch!$T$20:$T$68,L25))</f>
        <v/>
      </c>
      <c r="N25" s="202" t="str">
        <f>IF(COUNTIF(M$7:M$64,"&gt;0")&lt;10,"",SMALL(L$7:L$64,SMALL(M$7:M$64,10)))</f>
        <v/>
      </c>
      <c r="O25" s="95" t="str">
        <f t="shared" si="0"/>
        <v/>
      </c>
      <c r="P25" s="92"/>
      <c r="Q25" s="92"/>
      <c r="R25" s="92"/>
      <c r="S25" s="92"/>
    </row>
    <row r="26" spans="1:19" s="90" customFormat="1" ht="25.5" customHeight="1" x14ac:dyDescent="0.2">
      <c r="A26" s="91" t="str">
        <f>IF(N26="","",SUMIF(Kassenbuch!$T$20:$T$68,$N26,Kassenbuch!$V$20:$V$68))</f>
        <v/>
      </c>
      <c r="B26" s="302" t="str">
        <f t="shared" si="1"/>
        <v/>
      </c>
      <c r="C26" s="303"/>
      <c r="D26" s="29"/>
      <c r="E26" s="304" t="str">
        <f t="shared" si="2"/>
        <v/>
      </c>
      <c r="F26" s="303"/>
      <c r="G26" s="30"/>
      <c r="H26" s="307" t="str">
        <f t="shared" si="3"/>
        <v/>
      </c>
      <c r="I26" s="307"/>
      <c r="J26" s="307"/>
      <c r="L26" s="202" t="str">
        <f>IF(ISERROR(SMALL(Kassenbuch!$T$20:$T$68,11)),"",SMALL(Kassenbuch!$T$20:$T$68,11))</f>
        <v/>
      </c>
      <c r="M26" s="94" t="str">
        <f>IF(OR(L26="",L26=L25),"",MAX(M$16:M25)+COUNTIF(Kassenbuch!$T$20:$T$68,L26))</f>
        <v/>
      </c>
      <c r="N26" s="202" t="str">
        <f>IF(COUNTIF(M$7:M$64,"&gt;0")&lt;11,"",SMALL(L$7:L$64,SMALL(M$7:M$64,11)))</f>
        <v/>
      </c>
      <c r="O26" s="95" t="str">
        <f t="shared" si="0"/>
        <v/>
      </c>
      <c r="P26" s="92"/>
      <c r="Q26" s="92"/>
      <c r="R26" s="92"/>
      <c r="S26" s="92"/>
    </row>
    <row r="27" spans="1:19" s="90" customFormat="1" ht="25.5" customHeight="1" x14ac:dyDescent="0.2">
      <c r="A27" s="91" t="str">
        <f>IF(N27="","",SUMIF(Kassenbuch!$T$20:$T$68,$N27,Kassenbuch!$V$20:$V$68))</f>
        <v/>
      </c>
      <c r="B27" s="302" t="str">
        <f t="shared" si="1"/>
        <v/>
      </c>
      <c r="C27" s="303"/>
      <c r="D27" s="29"/>
      <c r="E27" s="304" t="str">
        <f t="shared" si="2"/>
        <v/>
      </c>
      <c r="F27" s="303"/>
      <c r="G27" s="30"/>
      <c r="H27" s="307" t="str">
        <f t="shared" si="3"/>
        <v/>
      </c>
      <c r="I27" s="307"/>
      <c r="J27" s="307"/>
      <c r="L27" s="202" t="str">
        <f>IF(ISERROR(SMALL(Kassenbuch!$T$20:$T$68,12)),"",SMALL(Kassenbuch!$T$20:$T$68,12))</f>
        <v/>
      </c>
      <c r="M27" s="94" t="str">
        <f>IF(OR(L27="",L27=L26),"",MAX(M$16:M26)+COUNTIF(Kassenbuch!$T$20:$T$68,L27))</f>
        <v/>
      </c>
      <c r="N27" s="202" t="str">
        <f>IF(COUNTIF(M$7:M$64,"&gt;0")&lt;12,"",SMALL(L$7:L$64,SMALL(M$7:M$64,12)))</f>
        <v/>
      </c>
      <c r="O27" s="95" t="str">
        <f t="shared" si="0"/>
        <v/>
      </c>
      <c r="P27" s="92"/>
      <c r="Q27" s="92"/>
      <c r="R27" s="92"/>
      <c r="S27" s="92"/>
    </row>
    <row r="28" spans="1:19" s="90" customFormat="1" ht="25.5" customHeight="1" x14ac:dyDescent="0.2">
      <c r="A28" s="91" t="str">
        <f>IF(N28="","",SUMIF(Kassenbuch!$T$20:$T$68,$N28,Kassenbuch!$V$20:$V$68))</f>
        <v/>
      </c>
      <c r="B28" s="302" t="str">
        <f t="shared" si="1"/>
        <v/>
      </c>
      <c r="C28" s="303"/>
      <c r="D28" s="29"/>
      <c r="E28" s="304" t="str">
        <f t="shared" si="2"/>
        <v/>
      </c>
      <c r="F28" s="303"/>
      <c r="G28" s="30"/>
      <c r="H28" s="307" t="str">
        <f t="shared" si="3"/>
        <v/>
      </c>
      <c r="I28" s="307"/>
      <c r="J28" s="307"/>
      <c r="L28" s="202" t="str">
        <f>IF(ISERROR(SMALL(Kassenbuch!$T$20:$T$68,13)),"",SMALL(Kassenbuch!$T$20:$T$68,13))</f>
        <v/>
      </c>
      <c r="M28" s="94" t="str">
        <f>IF(OR(L28="",L28=L27),"",MAX(M$16:M27)+COUNTIF(Kassenbuch!$T$20:$T$68,L28))</f>
        <v/>
      </c>
      <c r="N28" s="202" t="str">
        <f>IF(COUNTIF(M$7:M$64,"&gt;0")&lt;13,"",SMALL(L$7:L$64,SMALL(M$7:M$64,13)))</f>
        <v/>
      </c>
      <c r="O28" s="95" t="str">
        <f t="shared" si="0"/>
        <v/>
      </c>
      <c r="P28" s="92"/>
      <c r="Q28" s="92"/>
      <c r="R28" s="92"/>
      <c r="S28" s="92"/>
    </row>
    <row r="29" spans="1:19" s="90" customFormat="1" ht="25.5" customHeight="1" x14ac:dyDescent="0.2">
      <c r="A29" s="91" t="str">
        <f>IF(N29="","",SUMIF(Kassenbuch!$T$20:$T$68,$N29,Kassenbuch!$V$20:$V$68))</f>
        <v/>
      </c>
      <c r="B29" s="302" t="str">
        <f t="shared" si="1"/>
        <v/>
      </c>
      <c r="C29" s="303"/>
      <c r="D29" s="29"/>
      <c r="E29" s="304" t="str">
        <f t="shared" si="2"/>
        <v/>
      </c>
      <c r="F29" s="303"/>
      <c r="G29" s="30"/>
      <c r="H29" s="307" t="str">
        <f t="shared" si="3"/>
        <v/>
      </c>
      <c r="I29" s="307"/>
      <c r="J29" s="307"/>
      <c r="L29" s="202" t="str">
        <f>IF(ISERROR(SMALL(Kassenbuch!$T$20:$T$68,14)),"",SMALL(Kassenbuch!$T$20:$T$68,14))</f>
        <v/>
      </c>
      <c r="M29" s="94" t="str">
        <f>IF(OR(L29="",L29=L28),"",MAX(M$16:M28)+COUNTIF(Kassenbuch!$T$20:$T$68,L29))</f>
        <v/>
      </c>
      <c r="N29" s="202" t="str">
        <f>IF(COUNTIF(M$7:M$64,"&gt;0")&lt;14,"",SMALL(L$7:L$64,SMALL(M$7:M$64,14)))</f>
        <v/>
      </c>
      <c r="O29" s="95" t="str">
        <f t="shared" si="0"/>
        <v/>
      </c>
      <c r="P29" s="92"/>
      <c r="Q29" s="92"/>
      <c r="R29" s="92"/>
      <c r="S29" s="92"/>
    </row>
    <row r="30" spans="1:19" s="90" customFormat="1" ht="25.5" customHeight="1" x14ac:dyDescent="0.2">
      <c r="A30" s="91" t="str">
        <f>IF(N30="","",SUMIF(Kassenbuch!$T$20:$T$68,$N30,Kassenbuch!$V$20:$V$68))</f>
        <v/>
      </c>
      <c r="B30" s="302" t="str">
        <f t="shared" si="1"/>
        <v/>
      </c>
      <c r="C30" s="303"/>
      <c r="D30" s="29"/>
      <c r="E30" s="304" t="str">
        <f t="shared" si="2"/>
        <v/>
      </c>
      <c r="F30" s="303"/>
      <c r="G30" s="30"/>
      <c r="H30" s="307" t="str">
        <f t="shared" si="3"/>
        <v/>
      </c>
      <c r="I30" s="307"/>
      <c r="J30" s="307"/>
      <c r="L30" s="202" t="str">
        <f>IF(ISERROR(SMALL(Kassenbuch!$T$20:$T$68,15)),"",SMALL(Kassenbuch!$T$20:$T$68,15))</f>
        <v/>
      </c>
      <c r="M30" s="94" t="str">
        <f>IF(OR(L30="",L30=L29),"",MAX(M$16:M29)+COUNTIF(Kassenbuch!$T$20:$T$68,L30))</f>
        <v/>
      </c>
      <c r="N30" s="202" t="str">
        <f>IF(COUNTIF(M$7:M$64,"&gt;0")&lt;15,"",SMALL(L$7:L$64,SMALL(M$7:M$64,15)))</f>
        <v/>
      </c>
      <c r="O30" s="95" t="str">
        <f t="shared" si="0"/>
        <v/>
      </c>
      <c r="P30" s="92"/>
      <c r="Q30" s="92"/>
      <c r="R30" s="92"/>
      <c r="S30" s="92"/>
    </row>
    <row r="31" spans="1:19" s="90" customFormat="1" ht="25.5" customHeight="1" x14ac:dyDescent="0.2">
      <c r="A31" s="91" t="str">
        <f>IF(N31="","",SUMIF(Kassenbuch!$T$20:$T$68,$N31,Kassenbuch!$V$20:$V$68))</f>
        <v/>
      </c>
      <c r="B31" s="302" t="str">
        <f t="shared" si="1"/>
        <v/>
      </c>
      <c r="C31" s="303"/>
      <c r="D31" s="29"/>
      <c r="E31" s="304" t="str">
        <f t="shared" si="2"/>
        <v/>
      </c>
      <c r="F31" s="303"/>
      <c r="G31" s="30"/>
      <c r="H31" s="307" t="str">
        <f t="shared" si="3"/>
        <v/>
      </c>
      <c r="I31" s="307"/>
      <c r="J31" s="307"/>
      <c r="L31" s="202" t="str">
        <f>IF(ISERROR(SMALL(Kassenbuch!$T$20:$T$68,16)),"",SMALL(Kassenbuch!$T$20:$T$68,16))</f>
        <v/>
      </c>
      <c r="M31" s="94" t="str">
        <f>IF(OR(L31="",L31=L30),"",MAX(M$16:M30)+COUNTIF(Kassenbuch!$T$20:$T$68,L31))</f>
        <v/>
      </c>
      <c r="N31" s="202" t="str">
        <f>IF(COUNTIF(M$7:M$64,"&gt;0")&lt;16,"",SMALL(L$7:L$64,SMALL(M$7:M$64,16)))</f>
        <v/>
      </c>
      <c r="O31" s="95" t="str">
        <f t="shared" si="0"/>
        <v/>
      </c>
      <c r="P31" s="92"/>
      <c r="Q31" s="92"/>
      <c r="R31" s="92"/>
      <c r="S31" s="92"/>
    </row>
    <row r="32" spans="1:19" s="90" customFormat="1" ht="25.5" customHeight="1" x14ac:dyDescent="0.2">
      <c r="A32" s="96" t="str">
        <f>IF(A16&lt;&gt;"",SUM(A16:A31),"")</f>
        <v/>
      </c>
      <c r="B32" s="308" t="str">
        <f>IF(A32="","","Gesamtbetrag")</f>
        <v/>
      </c>
      <c r="C32" s="308"/>
      <c r="D32" s="97"/>
      <c r="E32" s="309"/>
      <c r="F32" s="309"/>
      <c r="G32" s="224"/>
      <c r="H32" s="309"/>
      <c r="I32" s="309"/>
      <c r="J32" s="309"/>
      <c r="L32" s="202" t="str">
        <f>IF(ISERROR(SMALL(Kassenbuch!$T$20:$T$68,17)),"",SMALL(Kassenbuch!$T$20:$T$68,17))</f>
        <v/>
      </c>
      <c r="M32" s="94" t="str">
        <f>IF(OR(L32="",L32=L31),"",MAX(M$16:M31)+COUNTIF(Kassenbuch!$T$20:$T$68,L32))</f>
        <v/>
      </c>
      <c r="N32" s="98"/>
      <c r="O32" s="99"/>
      <c r="P32" s="92"/>
      <c r="Q32" s="92"/>
      <c r="R32" s="92"/>
      <c r="S32" s="92"/>
    </row>
    <row r="33" spans="1:19" s="84" customFormat="1" ht="37.5" customHeight="1" x14ac:dyDescent="0.2">
      <c r="A33" s="249"/>
      <c r="B33" s="310"/>
      <c r="C33" s="310"/>
      <c r="D33" s="225"/>
      <c r="E33" s="310"/>
      <c r="F33" s="310"/>
      <c r="G33" s="310"/>
      <c r="H33" s="310"/>
      <c r="I33" s="310"/>
      <c r="J33" s="310"/>
      <c r="L33" s="202" t="str">
        <f>IF(ISERROR(SMALL(Kassenbuch!$T$20:$T$68,18)),"",SMALL(Kassenbuch!$T$20:$T$68,18))</f>
        <v/>
      </c>
      <c r="M33" s="94" t="str">
        <f>IF(OR(L33="",L33=L32),"",MAX(M$16:M32)+COUNTIF(Kassenbuch!$T$20:$T$68,L33))</f>
        <v/>
      </c>
      <c r="N33" s="98"/>
      <c r="O33" s="99"/>
      <c r="P33" s="92"/>
      <c r="Q33" s="46"/>
      <c r="R33" s="46"/>
      <c r="S33" s="46"/>
    </row>
    <row r="34" spans="1:19" s="84" customFormat="1" ht="17.25" customHeight="1" x14ac:dyDescent="0.2">
      <c r="A34" s="100" t="s">
        <v>143</v>
      </c>
      <c r="B34" s="305"/>
      <c r="C34" s="305"/>
      <c r="D34" s="305"/>
      <c r="E34" s="305"/>
      <c r="F34" s="306" t="s">
        <v>144</v>
      </c>
      <c r="G34" s="306"/>
      <c r="H34" s="306"/>
      <c r="I34" s="306"/>
      <c r="J34" s="306"/>
      <c r="L34" s="202" t="str">
        <f>IF(ISERROR(SMALL(Kassenbuch!$T$20:$T$68,19)),"",SMALL(Kassenbuch!$T$20:$T$68,19))</f>
        <v/>
      </c>
      <c r="M34" s="94" t="str">
        <f>IF(OR(L34="",L34=L33),"",MAX(M$16:M33)+COUNTIF(Kassenbuch!$T$20:$T$68,L34))</f>
        <v/>
      </c>
      <c r="N34" s="98"/>
      <c r="O34" s="99"/>
      <c r="P34" s="92"/>
      <c r="Q34" s="46"/>
      <c r="R34" s="46"/>
      <c r="S34" s="46"/>
    </row>
    <row r="35" spans="1:19" ht="15" x14ac:dyDescent="0.2">
      <c r="L35" s="202" t="str">
        <f>IF(ISERROR(SMALL(Kassenbuch!$T$20:$T$68,20)),"",SMALL(Kassenbuch!$T$20:$T$68,20))</f>
        <v/>
      </c>
      <c r="M35" s="94" t="str">
        <f>IF(OR(L35="",L35=L34),"",MAX(M$16:M34)+COUNTIF(Kassenbuch!$T$20:$T$68,L35))</f>
        <v/>
      </c>
      <c r="N35" s="98"/>
      <c r="O35" s="99"/>
      <c r="P35" s="92"/>
    </row>
    <row r="36" spans="1:19" ht="15" hidden="1" x14ac:dyDescent="0.2">
      <c r="L36" s="202" t="str">
        <f>IF(ISERROR(SMALL(Kassenbuch!$T$20:$T$68,21)),"",SMALL(Kassenbuch!$T$20:$T$68,21))</f>
        <v/>
      </c>
      <c r="M36" s="94" t="str">
        <f>IF(OR(L36="",L36=L35),"",MAX(M$16:M35)+COUNTIF(Kassenbuch!$T$20:$T$68,L36))</f>
        <v/>
      </c>
      <c r="N36" s="98"/>
      <c r="O36" s="99"/>
      <c r="P36" s="92"/>
    </row>
    <row r="37" spans="1:19" ht="15" hidden="1" x14ac:dyDescent="0.2">
      <c r="A37" s="46">
        <f>IF(A28="",0,1)</f>
        <v>0</v>
      </c>
      <c r="B37" s="46" t="s">
        <v>224</v>
      </c>
      <c r="L37" s="202" t="str">
        <f>IF(ISERROR(SMALL(Kassenbuch!$T$20:$T$68,22)),"",SMALL(Kassenbuch!$T$20:$T$68,22))</f>
        <v/>
      </c>
      <c r="M37" s="94" t="str">
        <f>IF(OR(L37="",L37=L36),"",MAX(M$16:M36)+COUNTIF(Kassenbuch!$T$20:$T$68,L37))</f>
        <v/>
      </c>
      <c r="N37" s="98"/>
      <c r="O37" s="99"/>
      <c r="P37" s="92"/>
    </row>
    <row r="38" spans="1:19" ht="15" hidden="1" x14ac:dyDescent="0.2">
      <c r="A38" s="46">
        <f>IF(A31="",0,1)</f>
        <v>0</v>
      </c>
      <c r="B38" s="46" t="s">
        <v>224</v>
      </c>
      <c r="L38" s="202" t="str">
        <f>IF(ISERROR(SMALL(Kassenbuch!$T$20:$T$68,23)),"",SMALL(Kassenbuch!$T$20:$T$68,23))</f>
        <v/>
      </c>
      <c r="M38" s="94" t="str">
        <f>IF(OR(L38="",L38=L37),"",MAX(M$16:M37)+COUNTIF(Kassenbuch!$T$20:$T$68,L38))</f>
        <v/>
      </c>
      <c r="N38" s="98"/>
      <c r="O38" s="99"/>
      <c r="P38" s="92"/>
    </row>
    <row r="39" spans="1:19" ht="15" x14ac:dyDescent="0.2">
      <c r="L39" s="202" t="str">
        <f>IF(ISERROR(SMALL(Kassenbuch!$T$20:$T$68,24)),"",SMALL(Kassenbuch!$T$20:$T$68,24))</f>
        <v/>
      </c>
      <c r="M39" s="94" t="str">
        <f>IF(OR(L39="",L39=L38),"",MAX(M$16:M38)+COUNTIF(Kassenbuch!$T$20:$T$68,L39))</f>
        <v/>
      </c>
      <c r="N39" s="98"/>
      <c r="O39" s="99"/>
      <c r="P39" s="92"/>
    </row>
    <row r="40" spans="1:19" ht="15" x14ac:dyDescent="0.2">
      <c r="L40" s="202" t="str">
        <f>IF(ISERROR(SMALL(Kassenbuch!$T$20:$T$68,25)),"",SMALL(Kassenbuch!$T$20:$T$68,25))</f>
        <v/>
      </c>
      <c r="M40" s="94" t="str">
        <f>IF(OR(L40="",L40=L39),"",MAX(M$16:M39)+COUNTIF(Kassenbuch!$T$20:$T$68,L40))</f>
        <v/>
      </c>
      <c r="N40" s="98"/>
      <c r="O40" s="99"/>
      <c r="P40" s="92"/>
    </row>
    <row r="41" spans="1:19" ht="15" x14ac:dyDescent="0.2">
      <c r="L41" s="202" t="str">
        <f>IF(ISERROR(SMALL(Kassenbuch!$T$20:$T$68,26)),"",SMALL(Kassenbuch!$T$20:$T$68,26))</f>
        <v/>
      </c>
      <c r="M41" s="94" t="str">
        <f>IF(OR(L41="",L41=L40),"",MAX(M$16:M40)+COUNTIF(Kassenbuch!$T$20:$T$68,L41))</f>
        <v/>
      </c>
      <c r="N41" s="98"/>
      <c r="O41" s="99"/>
      <c r="P41" s="92"/>
    </row>
    <row r="42" spans="1:19" ht="15" x14ac:dyDescent="0.2">
      <c r="L42" s="202" t="str">
        <f>IF(ISERROR(SMALL(Kassenbuch!$T$20:$T$68,27)),"",SMALL(Kassenbuch!$T$20:$T$68,27))</f>
        <v/>
      </c>
      <c r="M42" s="94" t="str">
        <f>IF(OR(L42="",L42=L41),"",MAX(M$16:M41)+COUNTIF(Kassenbuch!$T$20:$T$68,L42))</f>
        <v/>
      </c>
      <c r="N42" s="98"/>
      <c r="O42" s="99"/>
      <c r="P42" s="92"/>
    </row>
    <row r="43" spans="1:19" ht="15" x14ac:dyDescent="0.2">
      <c r="L43" s="202" t="str">
        <f>IF(ISERROR(SMALL(Kassenbuch!$T$20:$T$68,28)),"",SMALL(Kassenbuch!$T$20:$T$68,28))</f>
        <v/>
      </c>
      <c r="M43" s="94" t="str">
        <f>IF(OR(L43="",L43=L42),"",MAX(M$16:M42)+COUNTIF(Kassenbuch!$T$20:$T$68,L43))</f>
        <v/>
      </c>
      <c r="N43" s="98"/>
      <c r="O43" s="99"/>
      <c r="P43" s="92"/>
    </row>
    <row r="44" spans="1:19" ht="15" x14ac:dyDescent="0.2">
      <c r="L44" s="202" t="str">
        <f>IF(ISERROR(SMALL(Kassenbuch!$T$20:$T$68,29)),"",SMALL(Kassenbuch!$T$20:$T$68,29))</f>
        <v/>
      </c>
      <c r="M44" s="94" t="str">
        <f>IF(OR(L44="",L44=L43),"",MAX(M$16:M43)+COUNTIF(Kassenbuch!$T$20:$T$68,L44))</f>
        <v/>
      </c>
      <c r="N44" s="98"/>
      <c r="O44" s="99"/>
      <c r="P44" s="92"/>
    </row>
    <row r="45" spans="1:19" ht="15" x14ac:dyDescent="0.2">
      <c r="L45" s="202" t="str">
        <f>IF(ISERROR(SMALL(Kassenbuch!$T$20:$T$68,30)),"",SMALL(Kassenbuch!$T$20:$T$68,30))</f>
        <v/>
      </c>
      <c r="M45" s="94" t="str">
        <f>IF(OR(L45="",L45=L44),"",MAX(M$16:M44)+COUNTIF(Kassenbuch!$T$20:$T$68,L45))</f>
        <v/>
      </c>
      <c r="N45" s="98"/>
      <c r="O45" s="99"/>
      <c r="P45" s="92"/>
    </row>
    <row r="46" spans="1:19" ht="15" x14ac:dyDescent="0.2">
      <c r="L46" s="202" t="str">
        <f>IF(ISERROR(SMALL(Kassenbuch!$T$20:$T$68,31)),"",SMALL(Kassenbuch!$T$20:$T$68,31))</f>
        <v/>
      </c>
      <c r="M46" s="94" t="str">
        <f>IF(OR(L46="",L46=L45),"",MAX(M$16:M45)+COUNTIF(Kassenbuch!$T$20:$T$68,L46))</f>
        <v/>
      </c>
      <c r="N46" s="98"/>
      <c r="O46" s="99"/>
      <c r="P46" s="92"/>
    </row>
    <row r="47" spans="1:19" ht="15" x14ac:dyDescent="0.2">
      <c r="L47" s="202" t="str">
        <f>IF(ISERROR(SMALL(Kassenbuch!$T$20:$T$68,32)),"",SMALL(Kassenbuch!$T$20:$T$68,32))</f>
        <v/>
      </c>
      <c r="M47" s="94" t="str">
        <f>IF(OR(L47="",L47=L46),"",MAX(M$16:M46)+COUNTIF(Kassenbuch!$T$20:$T$68,L47))</f>
        <v/>
      </c>
      <c r="N47" s="98"/>
      <c r="O47" s="99"/>
      <c r="P47" s="92"/>
    </row>
    <row r="48" spans="1:19" ht="15" x14ac:dyDescent="0.2">
      <c r="L48" s="202" t="str">
        <f>IF(ISERROR(SMALL(Kassenbuch!$T$20:$T$68,33)),"",SMALL(Kassenbuch!$T$20:$T$68,33))</f>
        <v/>
      </c>
      <c r="M48" s="94" t="str">
        <f>IF(OR(L48="",L48=L47),"",MAX(M$16:M47)+COUNTIF(Kassenbuch!$T$20:$T$68,L48))</f>
        <v/>
      </c>
      <c r="N48" s="98"/>
      <c r="O48" s="99"/>
      <c r="P48" s="92"/>
    </row>
    <row r="49" spans="12:16" ht="15" x14ac:dyDescent="0.2">
      <c r="L49" s="202" t="str">
        <f>IF(ISERROR(SMALL(Kassenbuch!$T$20:$T$68,34)),"",SMALL(Kassenbuch!$T$20:$T$68,34))</f>
        <v/>
      </c>
      <c r="M49" s="94" t="str">
        <f>IF(OR(L49="",L49=L48),"",MAX(M$16:M48)+COUNTIF(Kassenbuch!$T$20:$T$68,L49))</f>
        <v/>
      </c>
      <c r="N49" s="98"/>
      <c r="O49" s="99"/>
      <c r="P49" s="92"/>
    </row>
    <row r="50" spans="12:16" ht="15" x14ac:dyDescent="0.2">
      <c r="L50" s="202" t="str">
        <f>IF(ISERROR(SMALL(Kassenbuch!$T$20:$T$68,35)),"",SMALL(Kassenbuch!$T$20:$T$68,35))</f>
        <v/>
      </c>
      <c r="M50" s="94" t="str">
        <f>IF(OR(L50="",L50=L49),"",MAX(M$16:M49)+COUNTIF(Kassenbuch!$T$20:$T$68,L50))</f>
        <v/>
      </c>
      <c r="N50" s="98"/>
      <c r="O50" s="99"/>
      <c r="P50" s="92"/>
    </row>
    <row r="51" spans="12:16" ht="15" x14ac:dyDescent="0.2">
      <c r="L51" s="202" t="str">
        <f>IF(ISERROR(SMALL(Kassenbuch!$T$20:$T$68,36)),"",SMALL(Kassenbuch!$T$20:$T$68,36))</f>
        <v/>
      </c>
      <c r="M51" s="94" t="str">
        <f>IF(OR(L51="",L51=L50),"",MAX(M$16:M50)+COUNTIF(Kassenbuch!$T$20:$T$68,L51))</f>
        <v/>
      </c>
      <c r="N51" s="98"/>
      <c r="O51" s="99"/>
      <c r="P51" s="92"/>
    </row>
    <row r="52" spans="12:16" ht="15" x14ac:dyDescent="0.2">
      <c r="L52" s="202" t="str">
        <f>IF(ISERROR(SMALL(Kassenbuch!$T$20:$T$68,37)),"",SMALL(Kassenbuch!$T$20:$T$68,37))</f>
        <v/>
      </c>
      <c r="M52" s="94" t="str">
        <f>IF(OR(L52="",L52=L51),"",MAX(M$16:M51)+COUNTIF(Kassenbuch!$T$20:$T$68,L52))</f>
        <v/>
      </c>
      <c r="N52" s="98"/>
      <c r="O52" s="99"/>
      <c r="P52" s="92"/>
    </row>
    <row r="53" spans="12:16" ht="15" x14ac:dyDescent="0.2">
      <c r="L53" s="202" t="str">
        <f>IF(ISERROR(SMALL(Kassenbuch!$T$20:$T$68,38)),"",SMALL(Kassenbuch!$T$20:$T$68,38))</f>
        <v/>
      </c>
      <c r="M53" s="94" t="str">
        <f>IF(OR(L53="",L53=L52),"",MAX(M$16:M52)+COUNTIF(Kassenbuch!$T$20:$T$68,L53))</f>
        <v/>
      </c>
      <c r="N53" s="98"/>
      <c r="O53" s="99"/>
      <c r="P53" s="92"/>
    </row>
    <row r="54" spans="12:16" ht="15" x14ac:dyDescent="0.2">
      <c r="L54" s="202" t="str">
        <f>IF(ISERROR(SMALL(Kassenbuch!$T$20:$T$68,39)),"",SMALL(Kassenbuch!$T$20:$T$68,39))</f>
        <v/>
      </c>
      <c r="M54" s="94" t="str">
        <f>IF(OR(L54="",L54=L53),"",MAX(M$16:M53)+COUNTIF(Kassenbuch!$T$20:$T$68,L54))</f>
        <v/>
      </c>
      <c r="N54" s="98"/>
      <c r="O54" s="99"/>
      <c r="P54" s="92"/>
    </row>
    <row r="55" spans="12:16" ht="15" x14ac:dyDescent="0.2">
      <c r="L55" s="202" t="str">
        <f>IF(ISERROR(SMALL(Kassenbuch!$T$20:$T$68,40)),"",SMALL(Kassenbuch!$T$20:$T$68,40))</f>
        <v/>
      </c>
      <c r="M55" s="94" t="str">
        <f>IF(OR(L55="",L55=L54),"",MAX(M$16:M54)+COUNTIF(Kassenbuch!$T$20:$T$68,L55))</f>
        <v/>
      </c>
      <c r="N55" s="98"/>
      <c r="O55" s="99"/>
      <c r="P55" s="92"/>
    </row>
    <row r="56" spans="12:16" ht="15" x14ac:dyDescent="0.2">
      <c r="L56" s="202" t="str">
        <f>IF(ISERROR(SMALL(Kassenbuch!$T$20:$T$68,41)),"",SMALL(Kassenbuch!$T$20:$T$68,41))</f>
        <v/>
      </c>
      <c r="M56" s="94" t="str">
        <f>IF(OR(L56="",L56=L55),"",MAX(M$16:M55)+COUNTIF(Kassenbuch!$T$20:$T$68,L56))</f>
        <v/>
      </c>
      <c r="N56" s="98"/>
      <c r="O56" s="99"/>
      <c r="P56" s="92"/>
    </row>
    <row r="57" spans="12:16" ht="15" x14ac:dyDescent="0.2">
      <c r="L57" s="202" t="str">
        <f>IF(ISERROR(SMALL(Kassenbuch!$T$20:$T$68,42)),"",SMALL(Kassenbuch!$T$20:$T$68,42))</f>
        <v/>
      </c>
      <c r="M57" s="94" t="str">
        <f>IF(OR(L57="",L57=L56),"",MAX(M$16:M56)+COUNTIF(Kassenbuch!$T$20:$T$68,L57))</f>
        <v/>
      </c>
      <c r="N57" s="98"/>
      <c r="O57" s="99"/>
      <c r="P57" s="92"/>
    </row>
    <row r="58" spans="12:16" ht="15" x14ac:dyDescent="0.2">
      <c r="L58" s="202" t="str">
        <f>IF(ISERROR(SMALL(Kassenbuch!$T$20:$T$68,43)),"",SMALL(Kassenbuch!$T$20:$T$68,43))</f>
        <v/>
      </c>
      <c r="M58" s="94" t="str">
        <f>IF(OR(L58="",L58=L57),"",MAX(M$16:M57)+COUNTIF(Kassenbuch!$T$20:$T$68,L58))</f>
        <v/>
      </c>
      <c r="N58" s="98"/>
      <c r="O58" s="99"/>
      <c r="P58" s="92"/>
    </row>
    <row r="59" spans="12:16" ht="15" x14ac:dyDescent="0.2">
      <c r="L59" s="202" t="str">
        <f>IF(ISERROR(SMALL(Kassenbuch!$T$20:$T$68,44)),"",SMALL(Kassenbuch!$T$20:$T$68,44))</f>
        <v/>
      </c>
      <c r="M59" s="94" t="str">
        <f>IF(OR(L59="",L59=L58),"",MAX(M$16:M58)+COUNTIF(Kassenbuch!$T$20:$T$68,L59))</f>
        <v/>
      </c>
      <c r="N59" s="98"/>
      <c r="O59" s="99"/>
      <c r="P59" s="92"/>
    </row>
    <row r="60" spans="12:16" ht="15" x14ac:dyDescent="0.2">
      <c r="L60" s="202" t="str">
        <f>IF(ISERROR(SMALL(Kassenbuch!$T$20:$T$68,45)),"",SMALL(Kassenbuch!$T$20:$T$68,45))</f>
        <v/>
      </c>
      <c r="M60" s="94" t="str">
        <f>IF(OR(L60="",L60=L59),"",MAX(M$16:M59)+COUNTIF(Kassenbuch!$T$20:$T$68,L60))</f>
        <v/>
      </c>
      <c r="N60" s="98"/>
      <c r="O60" s="99"/>
      <c r="P60" s="92"/>
    </row>
    <row r="61" spans="12:16" ht="15" x14ac:dyDescent="0.2">
      <c r="L61" s="202" t="str">
        <f>IF(ISERROR(SMALL(Kassenbuch!$T$20:$T$68,46)),"",SMALL(Kassenbuch!$T$20:$T$68,46))</f>
        <v/>
      </c>
      <c r="M61" s="94" t="str">
        <f>IF(OR(L61="",L61=L60),"",MAX(M$16:M60)+COUNTIF(Kassenbuch!$T$20:$T$68,L61))</f>
        <v/>
      </c>
      <c r="N61" s="98"/>
      <c r="O61" s="99"/>
      <c r="P61" s="92"/>
    </row>
    <row r="62" spans="12:16" ht="15" x14ac:dyDescent="0.2">
      <c r="L62" s="202" t="str">
        <f>IF(ISERROR(SMALL(Kassenbuch!$T$20:$T$68,47)),"",SMALL(Kassenbuch!$T$20:$T$68,47))</f>
        <v/>
      </c>
      <c r="M62" s="94" t="str">
        <f>IF(OR(L62="",L62=L61),"",MAX(M$16:M61)+COUNTIF(Kassenbuch!$T$20:$T$68,L62))</f>
        <v/>
      </c>
      <c r="N62" s="98"/>
      <c r="O62" s="99"/>
      <c r="P62" s="92"/>
    </row>
    <row r="63" spans="12:16" ht="15" x14ac:dyDescent="0.2">
      <c r="L63" s="202" t="str">
        <f>IF(ISERROR(SMALL(Kassenbuch!$T$20:$T$68,48)),"",SMALL(Kassenbuch!$T$20:$T$68,48))</f>
        <v/>
      </c>
      <c r="M63" s="94" t="str">
        <f>IF(OR(L63="",L63=L62),"",MAX(M$16:M62)+COUNTIF(Kassenbuch!$T$20:$T$68,L63))</f>
        <v/>
      </c>
      <c r="N63" s="98"/>
      <c r="O63" s="99"/>
      <c r="P63" s="92"/>
    </row>
    <row r="64" spans="12:16" ht="15" x14ac:dyDescent="0.2">
      <c r="L64" s="202" t="str">
        <f>IF(ISERROR(SMALL(Kassenbuch!$T$20:$T$68,49)),"",SMALL(Kassenbuch!$T$20:$T$68,49))</f>
        <v/>
      </c>
      <c r="M64" s="94" t="str">
        <f>IF(OR(L64="",L64=L63),"",MAX(M$16:M63)+COUNTIF(Kassenbuch!$T$20:$T$68,L64))</f>
        <v/>
      </c>
      <c r="N64" s="223" t="s">
        <v>95</v>
      </c>
      <c r="O64" s="99"/>
      <c r="P64" s="92"/>
    </row>
  </sheetData>
  <sheetProtection algorithmName="SHA-512" hashValue="X57NS2qSnLSn8sKYXAbsvgmnSmcvBt1jbApMcWiSa6ptlLCJLCw7PuksmfWwt3p8j9XVNqWZ8w0fC5q009T8zg==" saltValue="wdTNjvOvdyQIX57x6x4bxA==" spinCount="100000" sheet="1" objects="1" scenarios="1" selectLockedCells="1"/>
  <mergeCells count="68">
    <mergeCell ref="H30:J30"/>
    <mergeCell ref="H31:J31"/>
    <mergeCell ref="H16:J16"/>
    <mergeCell ref="H24:J24"/>
    <mergeCell ref="H25:J25"/>
    <mergeCell ref="H26:J26"/>
    <mergeCell ref="H27:J27"/>
    <mergeCell ref="H28:J28"/>
    <mergeCell ref="H29:J29"/>
    <mergeCell ref="B34:E34"/>
    <mergeCell ref="F34:J34"/>
    <mergeCell ref="H17:J17"/>
    <mergeCell ref="H18:J18"/>
    <mergeCell ref="H19:J19"/>
    <mergeCell ref="H20:J20"/>
    <mergeCell ref="H21:J21"/>
    <mergeCell ref="H22:J22"/>
    <mergeCell ref="H23:J23"/>
    <mergeCell ref="B31:C31"/>
    <mergeCell ref="E31:F31"/>
    <mergeCell ref="B32:C32"/>
    <mergeCell ref="E32:F32"/>
    <mergeCell ref="H32:J32"/>
    <mergeCell ref="B33:C33"/>
    <mergeCell ref="E33:J33"/>
    <mergeCell ref="B28:C28"/>
    <mergeCell ref="E28:F28"/>
    <mergeCell ref="B29:C29"/>
    <mergeCell ref="E29:F29"/>
    <mergeCell ref="B30:C30"/>
    <mergeCell ref="E30:F30"/>
    <mergeCell ref="B25:C25"/>
    <mergeCell ref="E25:F25"/>
    <mergeCell ref="B26:C26"/>
    <mergeCell ref="E26:F26"/>
    <mergeCell ref="B27:C27"/>
    <mergeCell ref="E27:F27"/>
    <mergeCell ref="B22:C22"/>
    <mergeCell ref="E22:F22"/>
    <mergeCell ref="B23:C23"/>
    <mergeCell ref="E23:F23"/>
    <mergeCell ref="B24:C24"/>
    <mergeCell ref="E24:F24"/>
    <mergeCell ref="B19:C19"/>
    <mergeCell ref="E19:F19"/>
    <mergeCell ref="B20:C20"/>
    <mergeCell ref="E20:F20"/>
    <mergeCell ref="B21:C21"/>
    <mergeCell ref="E21:F21"/>
    <mergeCell ref="B16:C16"/>
    <mergeCell ref="E16:F16"/>
    <mergeCell ref="B17:C17"/>
    <mergeCell ref="E17:F17"/>
    <mergeCell ref="B18:C18"/>
    <mergeCell ref="E18:F18"/>
    <mergeCell ref="L15:O15"/>
    <mergeCell ref="B15:C15"/>
    <mergeCell ref="E15:F15"/>
    <mergeCell ref="H15:J15"/>
    <mergeCell ref="B2:E4"/>
    <mergeCell ref="I2:J4"/>
    <mergeCell ref="B5:J5"/>
    <mergeCell ref="B8:I8"/>
    <mergeCell ref="B9:C9"/>
    <mergeCell ref="E9:J9"/>
    <mergeCell ref="B10:I10"/>
    <mergeCell ref="D11:E11"/>
    <mergeCell ref="G11:H11"/>
  </mergeCells>
  <pageMargins left="0.59055118110236227" right="0.27559055118110237" top="0.35433070866141736" bottom="0.39370078740157483" header="0.19685039370078741" footer="0.15748031496062992"/>
  <pageSetup paperSize="9" scale="99" orientation="portrait" blackAndWhite="1" r:id="rId1"/>
  <headerFooter>
    <oddFooter>&amp;L&amp;"Calibri,Standard"&amp;7&amp;K01+046Stand: &amp;D&amp;R&amp;"Calibri,Standard"&amp;7&amp;K01+046Version 3.7 - Oktober 2021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2:R64"/>
  <sheetViews>
    <sheetView showGridLines="0" zoomScaleNormal="100" workbookViewId="0">
      <selection activeCell="A16" sqref="A16"/>
    </sheetView>
  </sheetViews>
  <sheetFormatPr baseColWidth="10" defaultColWidth="11.42578125" defaultRowHeight="12.75" x14ac:dyDescent="0.2"/>
  <cols>
    <col min="1" max="1" width="16.7109375" style="46" customWidth="1"/>
    <col min="2" max="2" width="5.28515625" style="46" customWidth="1"/>
    <col min="3" max="3" width="8" style="46" customWidth="1"/>
    <col min="4" max="4" width="0.85546875" style="46" customWidth="1"/>
    <col min="5" max="5" width="8.28515625" style="46" customWidth="1"/>
    <col min="6" max="6" width="7.85546875" style="46" customWidth="1"/>
    <col min="7" max="8" width="8" style="46" customWidth="1"/>
    <col min="9" max="9" width="28.85546875" style="46" customWidth="1"/>
    <col min="10" max="10" width="2.7109375" style="46" customWidth="1"/>
    <col min="11" max="11" width="18.140625" style="46" hidden="1" customWidth="1"/>
    <col min="12" max="12" width="6.140625" style="46" hidden="1" customWidth="1"/>
    <col min="13" max="13" width="12.140625" style="46" hidden="1" customWidth="1"/>
    <col min="14" max="14" width="11.42578125" style="46" hidden="1" customWidth="1"/>
    <col min="15" max="16384" width="11.42578125" style="46"/>
  </cols>
  <sheetData>
    <row r="2" spans="1:18" ht="12.75" customHeight="1" x14ac:dyDescent="0.2">
      <c r="B2" s="294" t="s">
        <v>9</v>
      </c>
      <c r="C2" s="294"/>
      <c r="D2" s="294"/>
      <c r="E2" s="294"/>
      <c r="F2" s="294"/>
      <c r="G2" s="236"/>
      <c r="H2" s="295" t="str">
        <f>IF(Kassenbuch!$M$2="","",VLOOKUP(Kassenbuch!$M$2,RT!$A$2:$G$500,5,FALSE))</f>
        <v/>
      </c>
      <c r="I2" s="295"/>
    </row>
    <row r="3" spans="1:18" ht="12.75" customHeight="1" x14ac:dyDescent="0.2">
      <c r="B3" s="294"/>
      <c r="C3" s="294"/>
      <c r="D3" s="294"/>
      <c r="E3" s="294"/>
      <c r="F3" s="294"/>
      <c r="G3" s="236"/>
      <c r="H3" s="295"/>
      <c r="I3" s="295"/>
    </row>
    <row r="4" spans="1:18" ht="37.5" customHeight="1" x14ac:dyDescent="0.2">
      <c r="B4" s="294"/>
      <c r="C4" s="294"/>
      <c r="D4" s="294"/>
      <c r="E4" s="294"/>
      <c r="F4" s="294"/>
      <c r="G4" s="236"/>
      <c r="H4" s="295"/>
      <c r="I4" s="295"/>
    </row>
    <row r="5" spans="1:18" ht="21.75" customHeight="1" x14ac:dyDescent="0.2">
      <c r="B5" s="296" t="str">
        <f>IF(Kassenbuch!$M$2="","",VLOOKUP(Kassenbuch!$M$2,RT!$A$2:$G$500,2,FALSE))</f>
        <v/>
      </c>
      <c r="C5" s="296"/>
      <c r="D5" s="296"/>
      <c r="E5" s="296"/>
      <c r="F5" s="296"/>
      <c r="G5" s="296"/>
      <c r="H5" s="296"/>
      <c r="I5" s="296"/>
    </row>
    <row r="6" spans="1:18" s="237" customFormat="1" ht="10.5" customHeight="1" x14ac:dyDescent="0.2">
      <c r="C6" s="238"/>
      <c r="D6" s="238"/>
    </row>
    <row r="7" spans="1:18" s="84" customFormat="1" ht="30" customHeight="1" x14ac:dyDescent="0.2">
      <c r="B7" s="239" t="s">
        <v>31</v>
      </c>
      <c r="O7" s="46"/>
      <c r="P7" s="46"/>
      <c r="Q7" s="46"/>
      <c r="R7" s="46"/>
    </row>
    <row r="8" spans="1:18" s="242" customFormat="1" ht="18.75" x14ac:dyDescent="0.2">
      <c r="A8" s="240"/>
      <c r="B8" s="297"/>
      <c r="C8" s="297"/>
      <c r="D8" s="297"/>
      <c r="E8" s="297"/>
      <c r="F8" s="297"/>
      <c r="G8" s="297"/>
      <c r="H8" s="297"/>
      <c r="I8" s="241"/>
      <c r="O8" s="237"/>
      <c r="P8" s="237"/>
      <c r="Q8" s="237"/>
      <c r="R8" s="237"/>
    </row>
    <row r="9" spans="1:18" s="242" customFormat="1" ht="30" customHeight="1" x14ac:dyDescent="0.2">
      <c r="A9" s="243" t="s">
        <v>32</v>
      </c>
      <c r="B9" s="298" t="str">
        <f>IF(Kassenbuch!$M$2&lt;&gt;"","HK "&amp;VLOOKUP(Kassenbuch!$M$2,RT!$A$2:$G$500,4,FALSE),"")</f>
        <v/>
      </c>
      <c r="C9" s="298"/>
      <c r="D9" s="244"/>
      <c r="E9" s="245" t="str">
        <f>IF(Kassenbuch!$M$2&lt;&gt;"",'Buchungsblatt Aufwand'!$E$9:$J$9,"")</f>
        <v/>
      </c>
      <c r="F9" s="245"/>
      <c r="G9" s="245"/>
      <c r="H9" s="245"/>
      <c r="I9" s="245"/>
      <c r="O9" s="237"/>
      <c r="P9" s="237"/>
      <c r="Q9" s="237"/>
      <c r="R9" s="237"/>
    </row>
    <row r="10" spans="1:18" s="84" customFormat="1" ht="30" customHeight="1" x14ac:dyDescent="0.2">
      <c r="A10" s="85" t="s">
        <v>2</v>
      </c>
      <c r="B10" s="311" t="str">
        <f>IF('Buchungsblatt Aufwand'!B10:I10&lt;&gt;"",'Buchungsblatt Aufwand'!B10:I10,"")</f>
        <v/>
      </c>
      <c r="C10" s="311"/>
      <c r="D10" s="311"/>
      <c r="E10" s="311"/>
      <c r="F10" s="311"/>
      <c r="G10" s="311"/>
      <c r="H10" s="311"/>
      <c r="I10" s="87"/>
      <c r="O10" s="46"/>
      <c r="P10" s="46"/>
      <c r="Q10" s="46"/>
      <c r="R10" s="46"/>
    </row>
    <row r="11" spans="1:18" s="84" customFormat="1" ht="25.5" customHeight="1" x14ac:dyDescent="0.25">
      <c r="A11" s="246" t="s">
        <v>1</v>
      </c>
      <c r="B11" s="234" t="str">
        <f>IF('Buchungsblatt Aufwand'!B11&lt;&gt;"",'Buchungsblatt Aufwand'!B11,"")</f>
        <v/>
      </c>
      <c r="C11" s="234" t="str">
        <f>IF('Buchungsblatt Aufwand'!C11&lt;&gt;"",'Buchungsblatt Aufwand'!C11,"")</f>
        <v/>
      </c>
      <c r="D11" s="312" t="str">
        <f>IF('Buchungsblatt Aufwand'!D11:E11&lt;&gt;"",'Buchungsblatt Aufwand'!D11:E11,"")</f>
        <v/>
      </c>
      <c r="E11" s="312"/>
      <c r="F11" s="235" t="str">
        <f>IF('Buchungsblatt Aufwand'!F11&lt;&gt;"",'Buchungsblatt Aufwand'!F11,"")</f>
        <v/>
      </c>
      <c r="G11" s="235" t="str">
        <f>IF('Buchungsblatt Aufwand'!G11:H11&lt;&gt;"",'Buchungsblatt Aufwand'!G11:H11,"")</f>
        <v/>
      </c>
      <c r="H11" s="234" t="str">
        <f>IF('Buchungsblatt Aufwand'!I11&lt;&gt;"",'Buchungsblatt Aufwand'!I11,"")</f>
        <v/>
      </c>
      <c r="I11" s="247"/>
      <c r="J11" s="225"/>
      <c r="O11" s="46"/>
      <c r="P11" s="46"/>
      <c r="Q11" s="46"/>
      <c r="R11" s="46"/>
    </row>
    <row r="12" spans="1:18" s="84" customFormat="1" ht="4.5" customHeight="1" x14ac:dyDescent="0.2">
      <c r="A12" s="78"/>
      <c r="B12" s="79"/>
      <c r="C12" s="80"/>
      <c r="D12" s="81"/>
      <c r="E12" s="82"/>
      <c r="F12" s="80"/>
      <c r="G12" s="82"/>
      <c r="H12" s="80"/>
      <c r="I12" s="229"/>
      <c r="J12" s="225"/>
      <c r="O12" s="46"/>
      <c r="P12" s="46"/>
      <c r="Q12" s="46"/>
      <c r="R12" s="46"/>
    </row>
    <row r="13" spans="1:18" s="84" customFormat="1" ht="14.25" customHeight="1" x14ac:dyDescent="0.2">
      <c r="A13" s="85"/>
      <c r="B13" s="86"/>
      <c r="C13" s="86"/>
      <c r="D13" s="86"/>
      <c r="E13" s="86"/>
      <c r="F13" s="86"/>
      <c r="G13" s="86"/>
      <c r="H13" s="86"/>
      <c r="I13" s="87"/>
      <c r="O13" s="46"/>
      <c r="P13" s="46"/>
      <c r="Q13" s="46"/>
      <c r="R13" s="46"/>
    </row>
    <row r="14" spans="1:18" s="84" customFormat="1" ht="40.5" customHeight="1" x14ac:dyDescent="0.2">
      <c r="A14" s="88" t="s">
        <v>80</v>
      </c>
      <c r="B14" s="89"/>
      <c r="C14" s="89"/>
      <c r="D14" s="89"/>
      <c r="E14" s="89"/>
      <c r="F14" s="89"/>
      <c r="G14" s="89"/>
      <c r="H14" s="89"/>
      <c r="I14" s="89"/>
      <c r="O14" s="46"/>
      <c r="P14" s="46"/>
      <c r="Q14" s="46"/>
      <c r="R14" s="46"/>
    </row>
    <row r="15" spans="1:18" s="90" customFormat="1" ht="25.5" customHeight="1" x14ac:dyDescent="0.2">
      <c r="A15" s="228" t="s">
        <v>0</v>
      </c>
      <c r="B15" s="288" t="s">
        <v>3</v>
      </c>
      <c r="C15" s="288"/>
      <c r="D15" s="314" t="s">
        <v>76</v>
      </c>
      <c r="E15" s="315"/>
      <c r="F15" s="226" t="s">
        <v>173</v>
      </c>
      <c r="G15" s="313" t="s">
        <v>221</v>
      </c>
      <c r="H15" s="313"/>
      <c r="I15" s="313"/>
      <c r="K15" s="287" t="s">
        <v>99</v>
      </c>
      <c r="L15" s="287"/>
      <c r="M15" s="287"/>
      <c r="N15" s="287"/>
      <c r="O15" s="92"/>
      <c r="P15" s="92"/>
      <c r="Q15" s="92"/>
      <c r="R15" s="92"/>
    </row>
    <row r="16" spans="1:18" s="90" customFormat="1" ht="25.5" customHeight="1" x14ac:dyDescent="0.2">
      <c r="A16" s="91" t="str">
        <f>IF(K16="","",SUMIFS(Kassenbuch!I$20:I$68,Kassenbuch!Y$20:Y$68,'Buchungsblatt Ertrag'!K16))</f>
        <v/>
      </c>
      <c r="B16" s="316" t="str">
        <f>IF(A16="","",IF(D16=361100,"Nebenbuchh.",MID(K16,7,LEN(K16)-6)))</f>
        <v/>
      </c>
      <c r="C16" s="317"/>
      <c r="D16" s="302" t="str">
        <f>IF(A16="","",VLOOKUP(VALUE(MID(K16,5,2)),SaKo!C:D,2,FALSE))</f>
        <v/>
      </c>
      <c r="E16" s="303"/>
      <c r="F16" s="203" t="str">
        <f>IF(A16="","",VLOOKUP(D16,SaKo!D:G,4,FALSE))</f>
        <v/>
      </c>
      <c r="G16" s="318" t="str">
        <f>IF(AND(A16&lt;&gt;"",L16&gt;1),CONCATENATE(VLOOKUP(D16,SaKo!D$2:F$30,3,FALSE)," (zfsg.)"),IF(AND(A16&lt;&gt;"",L16=1),VLOOKUP(K16,Kassenbuch!A$20:F$68,5,FALSE),""))</f>
        <v/>
      </c>
      <c r="H16" s="319"/>
      <c r="I16" s="319"/>
      <c r="K16" s="202" t="str">
        <f>IFERROR(SMALL(Kassenbuch!Y$20:Y$68,1),"")</f>
        <v/>
      </c>
      <c r="L16" s="94">
        <f>COUNTIF(Kassenbuch!Y$20:Y$68,K16)</f>
        <v>49</v>
      </c>
      <c r="M16" s="93"/>
      <c r="N16" s="94"/>
      <c r="O16" s="92"/>
      <c r="P16" s="248"/>
      <c r="Q16" s="92"/>
      <c r="R16" s="92"/>
    </row>
    <row r="17" spans="1:18" s="90" customFormat="1" ht="25.5" customHeight="1" x14ac:dyDescent="0.2">
      <c r="A17" s="91" t="str">
        <f>IF(K17="","",SUMIFS(Kassenbuch!I$20:I$68,Kassenbuch!Y$20:Y$68,'Buchungsblatt Ertrag'!K17))</f>
        <v/>
      </c>
      <c r="B17" s="316" t="str">
        <f>IF(A17="","",IF(D17=361100,"Nebenbuchh.",MID(K17,7,LEN(K17)-6)))</f>
        <v/>
      </c>
      <c r="C17" s="317"/>
      <c r="D17" s="302" t="str">
        <f>IF(A17="","",VLOOKUP(VALUE(MID(K17,5,2)),SaKo!C:D,2,FALSE))</f>
        <v/>
      </c>
      <c r="E17" s="303"/>
      <c r="F17" s="203" t="str">
        <f>IF(A17="","",VLOOKUP(D17,SaKo!D:G,4,FALSE))</f>
        <v/>
      </c>
      <c r="G17" s="318" t="str">
        <f>IF(AND(A17&lt;&gt;"",L17&gt;1),CONCATENATE(VLOOKUP(D17,SaKo!D$2:F$30,3,FALSE)," (zfsg.)"),IF(AND(A17&lt;&gt;"",L17=1),VLOOKUP(K17,Kassenbuch!A$20:F$68,5,FALSE),""))</f>
        <v/>
      </c>
      <c r="H17" s="319"/>
      <c r="I17" s="319"/>
      <c r="K17" s="202" t="str">
        <f>IFERROR(SMALL(Kassenbuch!Y20:Y68,'Buchungsblatt Ertrag'!L16+1),"")</f>
        <v/>
      </c>
      <c r="L17" s="94">
        <f>COUNTIF(Kassenbuch!Y$20:Y$68,K17)</f>
        <v>49</v>
      </c>
      <c r="M17" s="93"/>
      <c r="N17" s="94"/>
      <c r="O17" s="92"/>
      <c r="P17" s="92"/>
      <c r="Q17" s="92"/>
      <c r="R17" s="92"/>
    </row>
    <row r="18" spans="1:18" s="90" customFormat="1" ht="25.5" customHeight="1" x14ac:dyDescent="0.2">
      <c r="A18" s="91" t="str">
        <f>IF(K18="","",SUMIFS(Kassenbuch!I$20:I$68,Kassenbuch!Y$20:Y$68,'Buchungsblatt Ertrag'!K18))</f>
        <v/>
      </c>
      <c r="B18" s="316" t="str">
        <f t="shared" ref="B18:B31" si="0">IF(A18="","",IF(D18=361100,"Nebenbuchh.",MID(K18,7,LEN(K18)-6)))</f>
        <v/>
      </c>
      <c r="C18" s="317"/>
      <c r="D18" s="302" t="str">
        <f>IF(A18="","",VLOOKUP(VALUE(MID(K18,5,2)),SaKo!C:D,2,FALSE))</f>
        <v/>
      </c>
      <c r="E18" s="303"/>
      <c r="F18" s="203" t="str">
        <f>IF(A18="","",VLOOKUP(D18,SaKo!D:G,4,FALSE))</f>
        <v/>
      </c>
      <c r="G18" s="318" t="str">
        <f>IF(AND(A18&lt;&gt;"",L18&gt;1),CONCATENATE(VLOOKUP(D18,SaKo!D$2:F$30,3,FALSE)," (zfsg.)"),IF(AND(A18&lt;&gt;"",L18=1),VLOOKUP(K18,Kassenbuch!A$20:F$68,5,FALSE),""))</f>
        <v/>
      </c>
      <c r="H18" s="319"/>
      <c r="I18" s="319"/>
      <c r="K18" s="202" t="str">
        <f>IFERROR(SMALL(Kassenbuch!Y$20:Y$68,SUM(L$16:L17)+1),"")</f>
        <v/>
      </c>
      <c r="L18" s="94">
        <f>COUNTIF(Kassenbuch!Y$20:Y$68,K18)</f>
        <v>49</v>
      </c>
      <c r="M18" s="93"/>
      <c r="N18" s="94"/>
      <c r="O18" s="92"/>
      <c r="P18" s="92"/>
      <c r="Q18" s="92"/>
      <c r="R18" s="92"/>
    </row>
    <row r="19" spans="1:18" s="90" customFormat="1" ht="25.5" customHeight="1" x14ac:dyDescent="0.2">
      <c r="A19" s="91" t="str">
        <f>IF(K19="","",SUMIFS(Kassenbuch!I$20:I$68,Kassenbuch!Y$20:Y$68,'Buchungsblatt Ertrag'!K19))</f>
        <v/>
      </c>
      <c r="B19" s="316" t="str">
        <f t="shared" si="0"/>
        <v/>
      </c>
      <c r="C19" s="317"/>
      <c r="D19" s="302" t="str">
        <f>IF(A19="","",VLOOKUP(VALUE(MID(K19,5,2)),SaKo!C:D,2,FALSE))</f>
        <v/>
      </c>
      <c r="E19" s="303"/>
      <c r="F19" s="203" t="str">
        <f>IF(A19="","",VLOOKUP(D19,SaKo!D:G,4,FALSE))</f>
        <v/>
      </c>
      <c r="G19" s="318" t="str">
        <f>IF(AND(A19&lt;&gt;"",L19&gt;1),CONCATENATE(VLOOKUP(D19,SaKo!D$2:F$30,3,FALSE)," (zfsg.)"),IF(AND(A19&lt;&gt;"",L19=1),VLOOKUP(K19,Kassenbuch!A$20:F$68,5,FALSE),""))</f>
        <v/>
      </c>
      <c r="H19" s="319"/>
      <c r="I19" s="319"/>
      <c r="K19" s="202" t="str">
        <f>IFERROR(SMALL(Kassenbuch!Y$20:Y$68,SUM(L$16:L18)+1),"")</f>
        <v/>
      </c>
      <c r="L19" s="94">
        <f>COUNTIF(Kassenbuch!Y$20:Y$68,K19)</f>
        <v>49</v>
      </c>
      <c r="M19" s="93"/>
      <c r="N19" s="94"/>
      <c r="O19" s="92"/>
      <c r="P19" s="92"/>
      <c r="Q19" s="92"/>
      <c r="R19" s="92"/>
    </row>
    <row r="20" spans="1:18" s="90" customFormat="1" ht="25.5" customHeight="1" x14ac:dyDescent="0.2">
      <c r="A20" s="91" t="str">
        <f>IF(K20="","",SUMIFS(Kassenbuch!I$20:I$68,Kassenbuch!Y$20:Y$68,'Buchungsblatt Ertrag'!K20))</f>
        <v/>
      </c>
      <c r="B20" s="316" t="str">
        <f t="shared" si="0"/>
        <v/>
      </c>
      <c r="C20" s="317"/>
      <c r="D20" s="302" t="str">
        <f>IF(A20="","",VLOOKUP(VALUE(MID(K20,5,2)),SaKo!C:D,2,FALSE))</f>
        <v/>
      </c>
      <c r="E20" s="303"/>
      <c r="F20" s="203" t="str">
        <f>IF(A20="","",VLOOKUP(D20,SaKo!D:G,4,FALSE))</f>
        <v/>
      </c>
      <c r="G20" s="318" t="str">
        <f>IF(AND(A20&lt;&gt;"",L20&gt;1),CONCATENATE(VLOOKUP(D20,SaKo!D$2:F$30,3,FALSE)," (zfsg.)"),IF(AND(A20&lt;&gt;"",L20=1),VLOOKUP(K20,Kassenbuch!A$20:F$68,5,FALSE),""))</f>
        <v/>
      </c>
      <c r="H20" s="319"/>
      <c r="I20" s="319"/>
      <c r="K20" s="202" t="str">
        <f>IFERROR(SMALL(Kassenbuch!Y$20:Y$68,SUM(L$16:L19)+1),"")</f>
        <v/>
      </c>
      <c r="L20" s="94">
        <f>COUNTIF(Kassenbuch!Y$20:Y$68,K20)</f>
        <v>49</v>
      </c>
      <c r="M20" s="93"/>
      <c r="N20" s="94"/>
      <c r="O20" s="92"/>
      <c r="P20" s="92"/>
      <c r="Q20" s="92"/>
      <c r="R20" s="92"/>
    </row>
    <row r="21" spans="1:18" s="90" customFormat="1" ht="25.5" customHeight="1" x14ac:dyDescent="0.2">
      <c r="A21" s="91" t="str">
        <f>IF(K21="","",SUMIFS(Kassenbuch!I$20:I$68,Kassenbuch!Y$20:Y$68,'Buchungsblatt Ertrag'!K21))</f>
        <v/>
      </c>
      <c r="B21" s="316" t="str">
        <f t="shared" si="0"/>
        <v/>
      </c>
      <c r="C21" s="317"/>
      <c r="D21" s="302" t="str">
        <f>IF(A21="","",VLOOKUP(VALUE(MID(K21,5,2)),SaKo!C:D,2,FALSE))</f>
        <v/>
      </c>
      <c r="E21" s="303"/>
      <c r="F21" s="203" t="str">
        <f>IF(A21="","",VLOOKUP(D21,SaKo!D:G,4,FALSE))</f>
        <v/>
      </c>
      <c r="G21" s="318" t="str">
        <f>IF(AND(A21&lt;&gt;"",L21&gt;1),CONCATENATE(VLOOKUP(D21,SaKo!D$2:F$30,3,FALSE)," (zfsg.)"),IF(AND(A21&lt;&gt;"",L21=1),VLOOKUP(K21,Kassenbuch!A$20:F$68,5,FALSE),""))</f>
        <v/>
      </c>
      <c r="H21" s="319"/>
      <c r="I21" s="319"/>
      <c r="K21" s="202" t="str">
        <f>IFERROR(SMALL(Kassenbuch!Y$20:Y$68,SUM(L$16:L20)+1),"")</f>
        <v/>
      </c>
      <c r="L21" s="94">
        <f>COUNTIF(Kassenbuch!Y$20:Y$68,K21)</f>
        <v>49</v>
      </c>
      <c r="M21" s="93"/>
      <c r="N21" s="94"/>
      <c r="O21" s="92"/>
      <c r="P21" s="92"/>
      <c r="Q21" s="92"/>
      <c r="R21" s="92"/>
    </row>
    <row r="22" spans="1:18" s="90" customFormat="1" ht="25.5" customHeight="1" x14ac:dyDescent="0.2">
      <c r="A22" s="91" t="str">
        <f>IF(K22="","",SUMIFS(Kassenbuch!I$20:I$68,Kassenbuch!Y$20:Y$68,'Buchungsblatt Ertrag'!K22))</f>
        <v/>
      </c>
      <c r="B22" s="316" t="str">
        <f t="shared" si="0"/>
        <v/>
      </c>
      <c r="C22" s="317"/>
      <c r="D22" s="302" t="str">
        <f>IF(A22="","",VLOOKUP(VALUE(MID(K22,5,2)),SaKo!C:D,2,FALSE))</f>
        <v/>
      </c>
      <c r="E22" s="303"/>
      <c r="F22" s="203" t="str">
        <f>IF(A22="","",VLOOKUP(D22,SaKo!D:G,4,FALSE))</f>
        <v/>
      </c>
      <c r="G22" s="318" t="str">
        <f>IF(AND(A22&lt;&gt;"",L22&gt;1),CONCATENATE(VLOOKUP(D22,SaKo!D$2:F$30,3,FALSE)," (zfsg.)"),IF(AND(A22&lt;&gt;"",L22=1),VLOOKUP(K22,Kassenbuch!A$20:F$68,5,FALSE),""))</f>
        <v/>
      </c>
      <c r="H22" s="319"/>
      <c r="I22" s="319"/>
      <c r="K22" s="202" t="str">
        <f>IFERROR(SMALL(Kassenbuch!Y$20:Y$68,SUM(L$16:L21)+1),"")</f>
        <v/>
      </c>
      <c r="L22" s="94">
        <f>COUNTIF(Kassenbuch!Y$20:Y$68,K22)</f>
        <v>49</v>
      </c>
      <c r="M22" s="93"/>
      <c r="N22" s="94"/>
      <c r="O22" s="92"/>
      <c r="P22" s="92"/>
      <c r="Q22" s="92"/>
      <c r="R22" s="92"/>
    </row>
    <row r="23" spans="1:18" s="90" customFormat="1" ht="25.5" customHeight="1" x14ac:dyDescent="0.2">
      <c r="A23" s="91" t="str">
        <f>IF(K23="","",SUMIFS(Kassenbuch!I$20:I$68,Kassenbuch!Y$20:Y$68,'Buchungsblatt Ertrag'!K23))</f>
        <v/>
      </c>
      <c r="B23" s="316" t="str">
        <f t="shared" si="0"/>
        <v/>
      </c>
      <c r="C23" s="317"/>
      <c r="D23" s="302" t="str">
        <f>IF(A23="","",VLOOKUP(VALUE(MID(K23,5,2)),SaKo!C:D,2,FALSE))</f>
        <v/>
      </c>
      <c r="E23" s="303"/>
      <c r="F23" s="203" t="str">
        <f>IF(A23="","",VLOOKUP(D23,SaKo!D:G,4,FALSE))</f>
        <v/>
      </c>
      <c r="G23" s="318" t="str">
        <f>IF(AND(A23&lt;&gt;"",L23&gt;1),CONCATENATE(VLOOKUP(D23,SaKo!D$2:F$30,3,FALSE)," (zfsg.)"),IF(AND(A23&lt;&gt;"",L23=1),VLOOKUP(K23,Kassenbuch!A$20:F$68,5,FALSE),""))</f>
        <v/>
      </c>
      <c r="H23" s="319"/>
      <c r="I23" s="319"/>
      <c r="K23" s="202" t="str">
        <f>IFERROR(SMALL(Kassenbuch!Y$20:Y$68,SUM(L$16:L22)+1),"")</f>
        <v/>
      </c>
      <c r="L23" s="94">
        <f>COUNTIF(Kassenbuch!Y$20:Y$68,K23)</f>
        <v>49</v>
      </c>
      <c r="M23" s="93"/>
      <c r="N23" s="94"/>
      <c r="O23" s="92"/>
      <c r="P23" s="92"/>
      <c r="Q23" s="92"/>
      <c r="R23" s="92"/>
    </row>
    <row r="24" spans="1:18" s="90" customFormat="1" ht="25.5" customHeight="1" x14ac:dyDescent="0.2">
      <c r="A24" s="91" t="str">
        <f>IF(K24="","",SUMIFS(Kassenbuch!I$20:I$68,Kassenbuch!Y$20:Y$68,'Buchungsblatt Ertrag'!K24))</f>
        <v/>
      </c>
      <c r="B24" s="316" t="str">
        <f t="shared" si="0"/>
        <v/>
      </c>
      <c r="C24" s="317"/>
      <c r="D24" s="302" t="str">
        <f>IF(A24="","",VLOOKUP(VALUE(MID(K24,5,2)),SaKo!C:D,2,FALSE))</f>
        <v/>
      </c>
      <c r="E24" s="303"/>
      <c r="F24" s="203" t="str">
        <f>IF(A24="","",VLOOKUP(D24,SaKo!D:G,4,FALSE))</f>
        <v/>
      </c>
      <c r="G24" s="318" t="str">
        <f>IF(AND(A24&lt;&gt;"",L24&gt;1),CONCATENATE(VLOOKUP(D24,SaKo!D$2:F$30,3,FALSE)," (zfsg.)"),IF(AND(A24&lt;&gt;"",L24=1),VLOOKUP(K24,Kassenbuch!A$20:F$68,5,FALSE),""))</f>
        <v/>
      </c>
      <c r="H24" s="319"/>
      <c r="I24" s="319"/>
      <c r="K24" s="202" t="str">
        <f>IFERROR(SMALL(Kassenbuch!Y$20:Y$68,SUM(L$16:L23)+1),"")</f>
        <v/>
      </c>
      <c r="L24" s="94">
        <f>COUNTIF(Kassenbuch!Y$20:Y$68,K24)</f>
        <v>49</v>
      </c>
      <c r="M24" s="93"/>
      <c r="N24" s="94"/>
      <c r="O24" s="92"/>
      <c r="P24" s="92"/>
      <c r="Q24" s="92"/>
      <c r="R24" s="92"/>
    </row>
    <row r="25" spans="1:18" s="90" customFormat="1" ht="25.5" customHeight="1" x14ac:dyDescent="0.2">
      <c r="A25" s="91" t="str">
        <f>IF(K25="","",SUMIFS(Kassenbuch!I$20:I$68,Kassenbuch!Y$20:Y$68,'Buchungsblatt Ertrag'!K25))</f>
        <v/>
      </c>
      <c r="B25" s="316" t="str">
        <f t="shared" si="0"/>
        <v/>
      </c>
      <c r="C25" s="317"/>
      <c r="D25" s="302" t="str">
        <f>IF(A25="","",VLOOKUP(VALUE(MID(K25,5,2)),SaKo!C:D,2,FALSE))</f>
        <v/>
      </c>
      <c r="E25" s="303"/>
      <c r="F25" s="203" t="str">
        <f>IF(A25="","",VLOOKUP(D25,SaKo!D:G,4,FALSE))</f>
        <v/>
      </c>
      <c r="G25" s="318" t="str">
        <f>IF(AND(A25&lt;&gt;"",L25&gt;1),CONCATENATE(VLOOKUP(D25,SaKo!D$2:F$30,3,FALSE)," (zfsg.)"),IF(AND(A25&lt;&gt;"",L25=1),VLOOKUP(K25,Kassenbuch!A$20:F$68,5,FALSE),""))</f>
        <v/>
      </c>
      <c r="H25" s="319"/>
      <c r="I25" s="319"/>
      <c r="K25" s="202" t="str">
        <f>IFERROR(SMALL(Kassenbuch!Y$20:Y$68,SUM(L$16:L24)+1),"")</f>
        <v/>
      </c>
      <c r="L25" s="94">
        <f>COUNTIF(Kassenbuch!Y$20:Y$68,K25)</f>
        <v>49</v>
      </c>
      <c r="M25" s="93"/>
      <c r="N25" s="94"/>
      <c r="O25" s="92"/>
      <c r="P25" s="92"/>
      <c r="Q25" s="92"/>
      <c r="R25" s="92"/>
    </row>
    <row r="26" spans="1:18" s="90" customFormat="1" ht="25.5" customHeight="1" x14ac:dyDescent="0.2">
      <c r="A26" s="91" t="str">
        <f>IF(K26="","",SUMIFS(Kassenbuch!I$20:I$68,Kassenbuch!Y$20:Y$68,'Buchungsblatt Ertrag'!K26))</f>
        <v/>
      </c>
      <c r="B26" s="316" t="str">
        <f t="shared" si="0"/>
        <v/>
      </c>
      <c r="C26" s="317"/>
      <c r="D26" s="302" t="str">
        <f>IF(A26="","",VLOOKUP(VALUE(MID(K26,5,2)),SaKo!C:D,2,FALSE))</f>
        <v/>
      </c>
      <c r="E26" s="303"/>
      <c r="F26" s="203" t="str">
        <f>IF(A26="","",VLOOKUP(D26,SaKo!D:G,4,FALSE))</f>
        <v/>
      </c>
      <c r="G26" s="318" t="str">
        <f>IF(AND(A26&lt;&gt;"",L26&gt;1),CONCATENATE(VLOOKUP(D26,SaKo!D$2:F$30,3,FALSE)," (zfsg.)"),IF(AND(A26&lt;&gt;"",L26=1),VLOOKUP(K26,Kassenbuch!A$20:F$68,5,FALSE),""))</f>
        <v/>
      </c>
      <c r="H26" s="319"/>
      <c r="I26" s="319"/>
      <c r="K26" s="202" t="str">
        <f>IFERROR(SMALL(Kassenbuch!Y$20:Y$68,SUM(L$16:L25)+1),"")</f>
        <v/>
      </c>
      <c r="L26" s="94">
        <f>COUNTIF(Kassenbuch!Y$20:Y$68,K26)</f>
        <v>49</v>
      </c>
      <c r="M26" s="93"/>
      <c r="N26" s="94"/>
      <c r="O26" s="92"/>
      <c r="P26" s="92"/>
      <c r="Q26" s="92"/>
      <c r="R26" s="92"/>
    </row>
    <row r="27" spans="1:18" s="90" customFormat="1" ht="25.5" customHeight="1" x14ac:dyDescent="0.2">
      <c r="A27" s="91" t="str">
        <f>IF(K27="","",SUMIFS(Kassenbuch!I$20:I$68,Kassenbuch!Y$20:Y$68,'Buchungsblatt Ertrag'!K27))</f>
        <v/>
      </c>
      <c r="B27" s="316" t="str">
        <f t="shared" si="0"/>
        <v/>
      </c>
      <c r="C27" s="317"/>
      <c r="D27" s="302" t="str">
        <f>IF(A27="","",VLOOKUP(VALUE(MID(K27,5,2)),SaKo!C:D,2,FALSE))</f>
        <v/>
      </c>
      <c r="E27" s="303"/>
      <c r="F27" s="203" t="str">
        <f>IF(A27="","",VLOOKUP(D27,SaKo!D:G,4,FALSE))</f>
        <v/>
      </c>
      <c r="G27" s="318" t="str">
        <f>IF(AND(A27&lt;&gt;"",L27&gt;1),CONCATENATE(VLOOKUP(D27,SaKo!D$2:F$30,3,FALSE)," (zfsg.)"),IF(AND(A27&lt;&gt;"",L27=1),VLOOKUP(K27,Kassenbuch!A$20:F$68,5,FALSE),""))</f>
        <v/>
      </c>
      <c r="H27" s="319"/>
      <c r="I27" s="319"/>
      <c r="K27" s="202" t="str">
        <f>IFERROR(SMALL(Kassenbuch!Y$20:Y$68,SUM(L$16:L26)+1),"")</f>
        <v/>
      </c>
      <c r="L27" s="94">
        <f>COUNTIF(Kassenbuch!Y$20:Y$68,K27)</f>
        <v>49</v>
      </c>
      <c r="M27" s="93"/>
      <c r="N27" s="94"/>
      <c r="O27" s="92"/>
      <c r="P27" s="92"/>
      <c r="Q27" s="92"/>
      <c r="R27" s="92"/>
    </row>
    <row r="28" spans="1:18" s="90" customFormat="1" ht="25.5" customHeight="1" x14ac:dyDescent="0.2">
      <c r="A28" s="91" t="str">
        <f>IF(K28="","",SUMIFS(Kassenbuch!I$20:I$68,Kassenbuch!Y$20:Y$68,'Buchungsblatt Ertrag'!K28))</f>
        <v/>
      </c>
      <c r="B28" s="316" t="str">
        <f t="shared" si="0"/>
        <v/>
      </c>
      <c r="C28" s="317"/>
      <c r="D28" s="302" t="str">
        <f>IF(A28="","",VLOOKUP(VALUE(MID(K28,5,2)),SaKo!C:D,2,FALSE))</f>
        <v/>
      </c>
      <c r="E28" s="303"/>
      <c r="F28" s="203" t="str">
        <f>IF(A28="","",VLOOKUP(D28,SaKo!D:G,4,FALSE))</f>
        <v/>
      </c>
      <c r="G28" s="318" t="str">
        <f>IF(AND(A28&lt;&gt;"",L28&gt;1),CONCATENATE(VLOOKUP(D28,SaKo!D$2:F$30,3,FALSE)," (zfsg.)"),IF(AND(A28&lt;&gt;"",L28=1),VLOOKUP(K28,Kassenbuch!A$20:F$68,5,FALSE),""))</f>
        <v/>
      </c>
      <c r="H28" s="319"/>
      <c r="I28" s="319"/>
      <c r="K28" s="202" t="str">
        <f>IFERROR(SMALL(Kassenbuch!Y$20:Y$68,SUM(L$16:L27)+1),"")</f>
        <v/>
      </c>
      <c r="L28" s="94">
        <f>COUNTIF(Kassenbuch!Y$20:Y$68,K28)</f>
        <v>49</v>
      </c>
      <c r="M28" s="93"/>
      <c r="N28" s="94"/>
      <c r="O28" s="92"/>
      <c r="P28" s="92"/>
      <c r="Q28" s="92"/>
      <c r="R28" s="92"/>
    </row>
    <row r="29" spans="1:18" s="90" customFormat="1" ht="25.5" customHeight="1" x14ac:dyDescent="0.2">
      <c r="A29" s="91" t="str">
        <f>IF(K29="","",SUMIFS(Kassenbuch!I$20:I$68,Kassenbuch!Y$20:Y$68,'Buchungsblatt Ertrag'!K29))</f>
        <v/>
      </c>
      <c r="B29" s="316" t="str">
        <f t="shared" si="0"/>
        <v/>
      </c>
      <c r="C29" s="317"/>
      <c r="D29" s="302" t="str">
        <f>IF(A29="","",VLOOKUP(VALUE(MID(K29,5,2)),SaKo!C:D,2,FALSE))</f>
        <v/>
      </c>
      <c r="E29" s="303"/>
      <c r="F29" s="203" t="str">
        <f>IF(A29="","",VLOOKUP(D29,SaKo!D:G,4,FALSE))</f>
        <v/>
      </c>
      <c r="G29" s="318" t="str">
        <f>IF(AND(A29&lt;&gt;"",L29&gt;1),CONCATENATE(VLOOKUP(D29,SaKo!D$2:F$30,3,FALSE)," (zfsg.)"),IF(AND(A29&lt;&gt;"",L29=1),VLOOKUP(K29,Kassenbuch!A$20:F$68,5,FALSE),""))</f>
        <v/>
      </c>
      <c r="H29" s="319"/>
      <c r="I29" s="319"/>
      <c r="K29" s="202" t="str">
        <f>IFERROR(SMALL(Kassenbuch!Y$20:Y$68,SUM(L$16:L28)+1),"")</f>
        <v/>
      </c>
      <c r="L29" s="94">
        <f>COUNTIF(Kassenbuch!Y$20:Y$68,K29)</f>
        <v>49</v>
      </c>
      <c r="M29" s="93"/>
      <c r="N29" s="94"/>
      <c r="O29" s="92"/>
      <c r="P29" s="92"/>
      <c r="Q29" s="92"/>
      <c r="R29" s="92"/>
    </row>
    <row r="30" spans="1:18" s="90" customFormat="1" ht="25.5" customHeight="1" x14ac:dyDescent="0.2">
      <c r="A30" s="91" t="str">
        <f>IF(K30="","",SUMIFS(Kassenbuch!I$20:I$68,Kassenbuch!Y$20:Y$68,'Buchungsblatt Ertrag'!K30))</f>
        <v/>
      </c>
      <c r="B30" s="316" t="str">
        <f t="shared" si="0"/>
        <v/>
      </c>
      <c r="C30" s="317"/>
      <c r="D30" s="302" t="str">
        <f>IF(A30="","",VLOOKUP(VALUE(MID(K30,5,2)),SaKo!C:D,2,FALSE))</f>
        <v/>
      </c>
      <c r="E30" s="303"/>
      <c r="F30" s="203" t="str">
        <f>IF(A30="","",VLOOKUP(D30,SaKo!D:G,4,FALSE))</f>
        <v/>
      </c>
      <c r="G30" s="318" t="str">
        <f>IF(AND(A30&lt;&gt;"",L30&gt;1),CONCATENATE(VLOOKUP(D30,SaKo!D$2:F$30,3,FALSE)," (zfsg.)"),IF(AND(A30&lt;&gt;"",L30=1),VLOOKUP(K30,Kassenbuch!A$20:F$68,5,FALSE),""))</f>
        <v/>
      </c>
      <c r="H30" s="319"/>
      <c r="I30" s="319"/>
      <c r="K30" s="202" t="str">
        <f>IFERROR(SMALL(Kassenbuch!Y$20:Y$68,SUM(L$16:L29)+1),"")</f>
        <v/>
      </c>
      <c r="L30" s="94">
        <f>COUNTIF(Kassenbuch!Y$20:Y$68,K30)</f>
        <v>49</v>
      </c>
      <c r="M30" s="93"/>
      <c r="N30" s="94"/>
      <c r="O30" s="92"/>
      <c r="P30" s="92"/>
      <c r="Q30" s="92"/>
      <c r="R30" s="92"/>
    </row>
    <row r="31" spans="1:18" s="90" customFormat="1" ht="25.5" customHeight="1" x14ac:dyDescent="0.2">
      <c r="A31" s="91" t="str">
        <f>IF(K31="","",SUMIFS(Kassenbuch!I$20:I$68,Kassenbuch!Y$20:Y$68,'Buchungsblatt Ertrag'!K31))</f>
        <v/>
      </c>
      <c r="B31" s="316" t="str">
        <f t="shared" si="0"/>
        <v/>
      </c>
      <c r="C31" s="317"/>
      <c r="D31" s="302" t="str">
        <f>IF(A31="","",VLOOKUP(VALUE(MID(K31,5,2)),SaKo!C:D,2,FALSE))</f>
        <v/>
      </c>
      <c r="E31" s="303"/>
      <c r="F31" s="203" t="str">
        <f>IF(A31="","",VLOOKUP(D31,SaKo!D:G,4,FALSE))</f>
        <v/>
      </c>
      <c r="G31" s="318" t="str">
        <f>IF(AND(A31&lt;&gt;"",L31&gt;1),CONCATENATE(VLOOKUP(D31,SaKo!D$2:F$30,3,FALSE)," (zfsg.)"),IF(AND(A31&lt;&gt;"",L31=1),VLOOKUP(K31,Kassenbuch!A$20:F$68,5,FALSE),""))</f>
        <v/>
      </c>
      <c r="H31" s="319"/>
      <c r="I31" s="319"/>
      <c r="K31" s="202" t="str">
        <f>IFERROR(SMALL(Kassenbuch!Y$20:Y$68,SUM(L$16:L30)+1),"")</f>
        <v/>
      </c>
      <c r="L31" s="94">
        <f>COUNTIF(Kassenbuch!Y$20:Y$68,K31)</f>
        <v>49</v>
      </c>
      <c r="M31" s="93"/>
      <c r="N31" s="94"/>
      <c r="O31" s="92"/>
      <c r="P31" s="92"/>
      <c r="Q31" s="92"/>
      <c r="R31" s="92"/>
    </row>
    <row r="32" spans="1:18" s="90" customFormat="1" ht="25.5" customHeight="1" x14ac:dyDescent="0.2">
      <c r="A32" s="96" t="str">
        <f>IF(A16&lt;&gt;"",SUM(A16:A31),"")</f>
        <v/>
      </c>
      <c r="B32" s="308" t="str">
        <f>IF(A32="","","Gesamtbetrag")</f>
        <v/>
      </c>
      <c r="C32" s="308"/>
      <c r="D32" s="97"/>
      <c r="E32" s="224"/>
      <c r="F32" s="224"/>
      <c r="G32" s="309"/>
      <c r="H32" s="309"/>
      <c r="I32" s="309"/>
      <c r="K32" s="202" t="str">
        <f>IFERROR(SMALL(Kassenbuch!Y$20:Y$68,SUM(L$16:L31)+1),"")</f>
        <v/>
      </c>
      <c r="L32" s="94">
        <f>COUNTIF(Kassenbuch!Y$20:Y$68,K32)</f>
        <v>49</v>
      </c>
      <c r="M32" s="93"/>
      <c r="N32" s="94"/>
      <c r="O32" s="92"/>
      <c r="P32" s="92"/>
      <c r="Q32" s="92"/>
      <c r="R32" s="92"/>
    </row>
    <row r="33" spans="1:18" s="84" customFormat="1" ht="37.5" customHeight="1" x14ac:dyDescent="0.2">
      <c r="A33" s="322"/>
      <c r="B33" s="322"/>
      <c r="C33" s="322"/>
      <c r="D33" s="225"/>
      <c r="E33" s="196"/>
      <c r="F33" s="321"/>
      <c r="G33" s="321"/>
      <c r="H33" s="321"/>
      <c r="I33" s="321"/>
      <c r="K33" s="202" t="str">
        <f>IFERROR(SMALL(Kassenbuch!Y$20:Y$68,SUM(L$16:L32)+1),"")</f>
        <v/>
      </c>
      <c r="L33" s="94">
        <f>COUNTIF(Kassenbuch!Y$20:Y$68,K33)</f>
        <v>49</v>
      </c>
      <c r="M33" s="93"/>
      <c r="N33" s="94"/>
      <c r="O33" s="92"/>
      <c r="P33" s="46"/>
      <c r="Q33" s="46"/>
      <c r="R33" s="46"/>
    </row>
    <row r="34" spans="1:18" s="84" customFormat="1" ht="17.25" customHeight="1" x14ac:dyDescent="0.2">
      <c r="A34" s="320" t="s">
        <v>143</v>
      </c>
      <c r="B34" s="320"/>
      <c r="C34" s="320"/>
      <c r="D34" s="197"/>
      <c r="E34" s="197"/>
      <c r="F34" s="198"/>
      <c r="G34" s="306" t="s">
        <v>144</v>
      </c>
      <c r="H34" s="306"/>
      <c r="I34" s="306"/>
      <c r="K34" s="202" t="str">
        <f>IFERROR(SMALL(Kassenbuch!Y$20:Y$68,SUM(L$16:L33)+1),"")</f>
        <v/>
      </c>
      <c r="L34" s="94">
        <f>COUNTIF(Kassenbuch!Y$20:Y$68,K34)</f>
        <v>49</v>
      </c>
      <c r="M34" s="93"/>
      <c r="N34" s="94"/>
      <c r="O34" s="92"/>
      <c r="P34" s="46"/>
      <c r="Q34" s="46"/>
      <c r="R34" s="46"/>
    </row>
    <row r="35" spans="1:18" ht="15" x14ac:dyDescent="0.2">
      <c r="K35" s="202" t="str">
        <f>IFERROR(SMALL(Kassenbuch!Y$20:Y$68,SUM(L$16:L34)+1),"")</f>
        <v/>
      </c>
      <c r="L35" s="94">
        <f>COUNTIF(Kassenbuch!Y$20:Y$68,K35)</f>
        <v>49</v>
      </c>
      <c r="M35" s="93"/>
      <c r="N35" s="94"/>
      <c r="O35" s="92"/>
    </row>
    <row r="36" spans="1:18" ht="15" x14ac:dyDescent="0.2">
      <c r="K36" s="202" t="str">
        <f>IFERROR(SMALL(Kassenbuch!Y$20:Y$68,SUM(L$16:L35)+1),"")</f>
        <v/>
      </c>
      <c r="L36" s="94">
        <f>COUNTIF(Kassenbuch!Y$20:Y$68,K36)</f>
        <v>49</v>
      </c>
      <c r="M36" s="93"/>
      <c r="N36" s="94"/>
      <c r="O36" s="92"/>
    </row>
    <row r="37" spans="1:18" ht="15" hidden="1" x14ac:dyDescent="0.2">
      <c r="A37" s="46">
        <f>IF(A28="",0,1)</f>
        <v>0</v>
      </c>
      <c r="B37" s="46" t="s">
        <v>224</v>
      </c>
      <c r="K37" s="202" t="str">
        <f>IFERROR(SMALL(Kassenbuch!Y$20:Y$68,SUM(L$16:L36)+1),"")</f>
        <v/>
      </c>
      <c r="L37" s="94">
        <f>COUNTIF(Kassenbuch!Y$20:Y$68,K37)</f>
        <v>49</v>
      </c>
      <c r="M37" s="93"/>
      <c r="N37" s="94"/>
      <c r="O37" s="92"/>
    </row>
    <row r="38" spans="1:18" ht="15" hidden="1" x14ac:dyDescent="0.2">
      <c r="A38" s="46">
        <f>IF(A31="",0,1)</f>
        <v>0</v>
      </c>
      <c r="B38" s="46" t="s">
        <v>224</v>
      </c>
      <c r="K38" s="202" t="str">
        <f>IFERROR(SMALL(Kassenbuch!Y$20:Y$68,SUM(L$16:L37)+1),"")</f>
        <v/>
      </c>
      <c r="L38" s="94">
        <f>COUNTIF(Kassenbuch!Y$20:Y$68,K38)</f>
        <v>49</v>
      </c>
      <c r="M38" s="93"/>
      <c r="N38" s="94"/>
      <c r="O38" s="92"/>
    </row>
    <row r="39" spans="1:18" ht="15" x14ac:dyDescent="0.2">
      <c r="K39" s="202" t="str">
        <f>IFERROR(SMALL(Kassenbuch!Y$20:Y$68,SUM(L$16:L38)+1),"")</f>
        <v/>
      </c>
      <c r="L39" s="94">
        <f>COUNTIF(Kassenbuch!Y$20:Y$68,K39)</f>
        <v>49</v>
      </c>
      <c r="M39" s="93"/>
      <c r="N39" s="94"/>
      <c r="O39" s="92"/>
    </row>
    <row r="40" spans="1:18" ht="15" x14ac:dyDescent="0.2">
      <c r="K40" s="202" t="str">
        <f>IFERROR(SMALL(Kassenbuch!Y$20:Y$68,SUM(L$16:L39)+1),"")</f>
        <v/>
      </c>
      <c r="L40" s="94">
        <f>COUNTIF(Kassenbuch!Y$20:Y$68,K40)</f>
        <v>49</v>
      </c>
      <c r="M40" s="93"/>
      <c r="N40" s="94"/>
      <c r="O40" s="92"/>
    </row>
    <row r="41" spans="1:18" ht="15" x14ac:dyDescent="0.2">
      <c r="K41" s="202" t="str">
        <f>IFERROR(SMALL(Kassenbuch!Y$20:Y$68,SUM(L$16:L40)+1),"")</f>
        <v/>
      </c>
      <c r="L41" s="94">
        <f>COUNTIF(Kassenbuch!Y$20:Y$68,K41)</f>
        <v>49</v>
      </c>
      <c r="M41" s="93"/>
      <c r="N41" s="94"/>
      <c r="O41" s="92"/>
    </row>
    <row r="42" spans="1:18" ht="15" x14ac:dyDescent="0.2">
      <c r="K42" s="202" t="str">
        <f>IFERROR(SMALL(Kassenbuch!Y$20:Y$68,SUM(L$16:L41)+1),"")</f>
        <v/>
      </c>
      <c r="L42" s="94">
        <f>COUNTIF(Kassenbuch!Y$20:Y$68,K42)</f>
        <v>49</v>
      </c>
      <c r="M42" s="93"/>
      <c r="N42" s="94"/>
      <c r="O42" s="92"/>
    </row>
    <row r="43" spans="1:18" ht="15" x14ac:dyDescent="0.2">
      <c r="K43" s="202" t="str">
        <f>IFERROR(SMALL(Kassenbuch!Y$20:Y$68,SUM(L$16:L42)+1),"")</f>
        <v/>
      </c>
      <c r="L43" s="94">
        <f>COUNTIF(Kassenbuch!Y$20:Y$68,K43)</f>
        <v>49</v>
      </c>
      <c r="M43" s="93"/>
      <c r="N43" s="94"/>
      <c r="O43" s="92"/>
    </row>
    <row r="44" spans="1:18" ht="15" x14ac:dyDescent="0.2">
      <c r="K44" s="202" t="str">
        <f>IFERROR(SMALL(Kassenbuch!Y$20:Y$68,SUM(L$16:L43)+1),"")</f>
        <v/>
      </c>
      <c r="L44" s="94">
        <f>COUNTIF(Kassenbuch!Y$20:Y$68,K44)</f>
        <v>49</v>
      </c>
      <c r="M44" s="93"/>
      <c r="N44" s="94"/>
      <c r="O44" s="92"/>
    </row>
    <row r="45" spans="1:18" ht="15" x14ac:dyDescent="0.2">
      <c r="K45" s="202" t="str">
        <f>IFERROR(SMALL(Kassenbuch!Y$20:Y$68,SUM(L$16:L44)+1),"")</f>
        <v/>
      </c>
      <c r="L45" s="94">
        <f>COUNTIF(Kassenbuch!Y$20:Y$68,K45)</f>
        <v>49</v>
      </c>
      <c r="M45" s="93"/>
      <c r="N45" s="94"/>
      <c r="O45" s="92"/>
    </row>
    <row r="46" spans="1:18" ht="15" x14ac:dyDescent="0.2">
      <c r="K46" s="202" t="str">
        <f>IFERROR(SMALL(Kassenbuch!Y$20:Y$68,SUM(L$16:L45)+1),"")</f>
        <v/>
      </c>
      <c r="L46" s="94">
        <f>COUNTIF(Kassenbuch!Y$20:Y$68,K46)</f>
        <v>49</v>
      </c>
      <c r="M46" s="93"/>
      <c r="N46" s="94"/>
      <c r="O46" s="92"/>
    </row>
    <row r="47" spans="1:18" ht="15" x14ac:dyDescent="0.2">
      <c r="K47" s="202" t="str">
        <f>IFERROR(SMALL(Kassenbuch!Y$20:Y$68,SUM(L$16:L46)+1),"")</f>
        <v/>
      </c>
      <c r="L47" s="94">
        <f>COUNTIF(Kassenbuch!Y$20:Y$68,K47)</f>
        <v>49</v>
      </c>
      <c r="M47" s="93"/>
      <c r="N47" s="94"/>
      <c r="O47" s="92"/>
    </row>
    <row r="48" spans="1:18" ht="15" x14ac:dyDescent="0.2">
      <c r="K48" s="202" t="str">
        <f>IFERROR(SMALL(Kassenbuch!Y$20:Y$68,SUM(L$16:L47)+1),"")</f>
        <v/>
      </c>
      <c r="L48" s="94">
        <f>COUNTIF(Kassenbuch!Y$20:Y$68,K48)</f>
        <v>49</v>
      </c>
      <c r="M48" s="93"/>
      <c r="N48" s="94"/>
      <c r="O48" s="92"/>
    </row>
    <row r="49" spans="11:15" ht="15" x14ac:dyDescent="0.2">
      <c r="K49" s="202" t="str">
        <f>IFERROR(SMALL(Kassenbuch!Y$20:Y$68,SUM(L$16:L48)+1),"")</f>
        <v/>
      </c>
      <c r="L49" s="94">
        <f>COUNTIF(Kassenbuch!Y$20:Y$68,K49)</f>
        <v>49</v>
      </c>
      <c r="M49" s="93"/>
      <c r="N49" s="94"/>
      <c r="O49" s="92"/>
    </row>
    <row r="50" spans="11:15" ht="15" x14ac:dyDescent="0.2">
      <c r="K50" s="202" t="str">
        <f>IFERROR(SMALL(Kassenbuch!Y$20:Y$68,SUM(L$16:L49)+1),"")</f>
        <v/>
      </c>
      <c r="L50" s="94">
        <f>COUNTIF(Kassenbuch!Y$20:Y$68,K50)</f>
        <v>49</v>
      </c>
      <c r="M50" s="93"/>
      <c r="N50" s="94"/>
      <c r="O50" s="92"/>
    </row>
    <row r="51" spans="11:15" ht="15" x14ac:dyDescent="0.2">
      <c r="K51" s="202" t="str">
        <f>IFERROR(SMALL(Kassenbuch!Y$20:Y$68,SUM(L$16:L50)+1),"")</f>
        <v/>
      </c>
      <c r="L51" s="94">
        <f>COUNTIF(Kassenbuch!Y$20:Y$68,K51)</f>
        <v>49</v>
      </c>
      <c r="M51" s="93"/>
      <c r="N51" s="94"/>
      <c r="O51" s="92"/>
    </row>
    <row r="52" spans="11:15" ht="15" x14ac:dyDescent="0.2">
      <c r="K52" s="202" t="str">
        <f>IFERROR(SMALL(Kassenbuch!Y$20:Y$68,SUM(L$16:L51)+1),"")</f>
        <v/>
      </c>
      <c r="L52" s="94">
        <f>COUNTIF(Kassenbuch!Y$20:Y$68,K52)</f>
        <v>49</v>
      </c>
      <c r="M52" s="93"/>
      <c r="N52" s="94"/>
      <c r="O52" s="92"/>
    </row>
    <row r="53" spans="11:15" ht="15" x14ac:dyDescent="0.2">
      <c r="K53" s="202" t="str">
        <f>IFERROR(SMALL(Kassenbuch!Y$20:Y$68,SUM(L$16:L52)+1),"")</f>
        <v/>
      </c>
      <c r="L53" s="94">
        <f>COUNTIF(Kassenbuch!Y$20:Y$68,K53)</f>
        <v>49</v>
      </c>
      <c r="M53" s="93"/>
      <c r="N53" s="94"/>
      <c r="O53" s="92"/>
    </row>
    <row r="54" spans="11:15" ht="15" x14ac:dyDescent="0.2">
      <c r="K54" s="202" t="str">
        <f>IFERROR(SMALL(Kassenbuch!Y$20:Y$68,SUM(L$16:L53)+1),"")</f>
        <v/>
      </c>
      <c r="L54" s="94">
        <f>COUNTIF(Kassenbuch!Y$20:Y$68,K54)</f>
        <v>49</v>
      </c>
      <c r="M54" s="93"/>
      <c r="N54" s="94"/>
      <c r="O54" s="92"/>
    </row>
    <row r="55" spans="11:15" ht="15" x14ac:dyDescent="0.2">
      <c r="K55" s="202" t="str">
        <f>IFERROR(SMALL(Kassenbuch!Y$20:Y$68,SUM(L$16:L54)+1),"")</f>
        <v/>
      </c>
      <c r="L55" s="94">
        <f>COUNTIF(Kassenbuch!Y$20:Y$68,K55)</f>
        <v>49</v>
      </c>
      <c r="M55" s="93"/>
      <c r="N55" s="94"/>
      <c r="O55" s="92"/>
    </row>
    <row r="56" spans="11:15" ht="15" x14ac:dyDescent="0.2">
      <c r="K56" s="202" t="str">
        <f>IFERROR(SMALL(Kassenbuch!Y$20:Y$68,SUM(L$16:L55)+1),"")</f>
        <v/>
      </c>
      <c r="L56" s="94">
        <f>COUNTIF(Kassenbuch!Y$20:Y$68,K56)</f>
        <v>49</v>
      </c>
      <c r="M56" s="93"/>
      <c r="N56" s="94"/>
      <c r="O56" s="92"/>
    </row>
    <row r="57" spans="11:15" ht="15" x14ac:dyDescent="0.2">
      <c r="K57" s="202" t="str">
        <f>IFERROR(SMALL(Kassenbuch!Y$20:Y$68,SUM(L$16:L56)+1),"")</f>
        <v/>
      </c>
      <c r="L57" s="94">
        <f>COUNTIF(Kassenbuch!Y$20:Y$68,K57)</f>
        <v>49</v>
      </c>
      <c r="M57" s="93"/>
      <c r="N57" s="94"/>
      <c r="O57" s="92"/>
    </row>
    <row r="58" spans="11:15" ht="15" x14ac:dyDescent="0.2">
      <c r="K58" s="202" t="str">
        <f>IFERROR(SMALL(Kassenbuch!Y$20:Y$68,SUM(L$16:L57)+1),"")</f>
        <v/>
      </c>
      <c r="L58" s="94">
        <f>COUNTIF(Kassenbuch!Y$20:Y$68,K58)</f>
        <v>49</v>
      </c>
      <c r="M58" s="93"/>
      <c r="N58" s="94"/>
      <c r="O58" s="92"/>
    </row>
    <row r="59" spans="11:15" ht="15" x14ac:dyDescent="0.2">
      <c r="K59" s="202" t="str">
        <f>IFERROR(SMALL(Kassenbuch!Y$20:Y$68,SUM(L$16:L58)+1),"")</f>
        <v/>
      </c>
      <c r="L59" s="94">
        <f>COUNTIF(Kassenbuch!Y$20:Y$68,K59)</f>
        <v>49</v>
      </c>
      <c r="M59" s="93"/>
      <c r="N59" s="94"/>
      <c r="O59" s="92"/>
    </row>
    <row r="60" spans="11:15" ht="15" x14ac:dyDescent="0.2">
      <c r="K60" s="202" t="str">
        <f>IFERROR(SMALL(Kassenbuch!Y$20:Y$68,SUM(L$16:L59)+1),"")</f>
        <v/>
      </c>
      <c r="L60" s="94">
        <f>COUNTIF(Kassenbuch!Y$20:Y$68,K60)</f>
        <v>49</v>
      </c>
      <c r="M60" s="93"/>
      <c r="N60" s="94"/>
      <c r="O60" s="92"/>
    </row>
    <row r="61" spans="11:15" ht="15" x14ac:dyDescent="0.2">
      <c r="K61" s="202" t="str">
        <f>IFERROR(SMALL(Kassenbuch!Y$20:Y$68,SUM(L$16:L60)+1),"")</f>
        <v/>
      </c>
      <c r="L61" s="94">
        <f>COUNTIF(Kassenbuch!Y$20:Y$68,K61)</f>
        <v>49</v>
      </c>
      <c r="M61" s="93"/>
      <c r="N61" s="94"/>
      <c r="O61" s="92"/>
    </row>
    <row r="62" spans="11:15" ht="15" x14ac:dyDescent="0.2">
      <c r="K62" s="202" t="str">
        <f>IFERROR(SMALL(Kassenbuch!Y$20:Y$68,SUM(L$16:L61)+1),"")</f>
        <v/>
      </c>
      <c r="L62" s="94">
        <f>COUNTIF(Kassenbuch!Y$20:Y$68,K62)</f>
        <v>49</v>
      </c>
      <c r="M62" s="93"/>
      <c r="N62" s="94"/>
      <c r="O62" s="92"/>
    </row>
    <row r="63" spans="11:15" ht="15" x14ac:dyDescent="0.2">
      <c r="K63" s="202" t="str">
        <f>IFERROR(SMALL(Kassenbuch!Y$20:Y$68,SUM(L$16:L62)+1),"")</f>
        <v/>
      </c>
      <c r="L63" s="94">
        <f>COUNTIF(Kassenbuch!Y$20:Y$68,K63)</f>
        <v>49</v>
      </c>
      <c r="M63" s="93"/>
      <c r="N63" s="94"/>
      <c r="O63" s="92"/>
    </row>
    <row r="64" spans="11:15" ht="15" x14ac:dyDescent="0.2">
      <c r="K64" s="202" t="str">
        <f>IFERROR(SMALL(Kassenbuch!Y$20:Y$68,SUM(L$16:L63)+1),"")</f>
        <v/>
      </c>
      <c r="L64" s="94">
        <f>COUNTIF(Kassenbuch!Y$20:Y$68,K64)</f>
        <v>49</v>
      </c>
      <c r="M64" s="93"/>
      <c r="N64" s="94"/>
      <c r="O64" s="92"/>
    </row>
  </sheetData>
  <sheetProtection password="C597" sheet="1" objects="1" scenarios="1" selectLockedCells="1" selectUnlockedCells="1"/>
  <mergeCells count="65">
    <mergeCell ref="A34:C34"/>
    <mergeCell ref="G34:I34"/>
    <mergeCell ref="B30:C30"/>
    <mergeCell ref="G30:I30"/>
    <mergeCell ref="B31:C31"/>
    <mergeCell ref="G31:I31"/>
    <mergeCell ref="B32:C32"/>
    <mergeCell ref="G32:I32"/>
    <mergeCell ref="D30:E30"/>
    <mergeCell ref="D31:E31"/>
    <mergeCell ref="F33:I33"/>
    <mergeCell ref="A33:C33"/>
    <mergeCell ref="B28:C28"/>
    <mergeCell ref="G28:I28"/>
    <mergeCell ref="B29:C29"/>
    <mergeCell ref="G29:I29"/>
    <mergeCell ref="B26:C26"/>
    <mergeCell ref="G26:I26"/>
    <mergeCell ref="B27:C27"/>
    <mergeCell ref="G27:I27"/>
    <mergeCell ref="D26:E26"/>
    <mergeCell ref="D27:E27"/>
    <mergeCell ref="D28:E28"/>
    <mergeCell ref="D29:E29"/>
    <mergeCell ref="B24:C24"/>
    <mergeCell ref="G24:I24"/>
    <mergeCell ref="B25:C25"/>
    <mergeCell ref="G25:I25"/>
    <mergeCell ref="B22:C22"/>
    <mergeCell ref="G22:I22"/>
    <mergeCell ref="B23:C23"/>
    <mergeCell ref="G23:I23"/>
    <mergeCell ref="D22:E22"/>
    <mergeCell ref="D23:E23"/>
    <mergeCell ref="D24:E24"/>
    <mergeCell ref="D25:E25"/>
    <mergeCell ref="B20:C20"/>
    <mergeCell ref="G20:I20"/>
    <mergeCell ref="B21:C21"/>
    <mergeCell ref="G21:I21"/>
    <mergeCell ref="B18:C18"/>
    <mergeCell ref="G18:I18"/>
    <mergeCell ref="B19:C19"/>
    <mergeCell ref="G19:I19"/>
    <mergeCell ref="D18:E18"/>
    <mergeCell ref="D19:E19"/>
    <mergeCell ref="D20:E20"/>
    <mergeCell ref="D21:E21"/>
    <mergeCell ref="B16:C16"/>
    <mergeCell ref="G16:I16"/>
    <mergeCell ref="B17:C17"/>
    <mergeCell ref="G17:I17"/>
    <mergeCell ref="D16:E16"/>
    <mergeCell ref="D17:E17"/>
    <mergeCell ref="B10:H10"/>
    <mergeCell ref="D11:E11"/>
    <mergeCell ref="B15:C15"/>
    <mergeCell ref="G15:I15"/>
    <mergeCell ref="K15:N15"/>
    <mergeCell ref="D15:E15"/>
    <mergeCell ref="H2:I4"/>
    <mergeCell ref="B5:I5"/>
    <mergeCell ref="B8:H8"/>
    <mergeCell ref="B9:C9"/>
    <mergeCell ref="B2:F4"/>
  </mergeCells>
  <pageMargins left="0.59055118110236227" right="0.27559055118110237" top="0.35433070866141736" bottom="0.39370078740157483" header="0.19685039370078741" footer="0.15748031496062992"/>
  <pageSetup paperSize="9" scale="96" orientation="portrait" blackAndWhite="1" r:id="rId1"/>
  <headerFooter>
    <oddFooter>&amp;L&amp;"Calibri,Standard"&amp;7&amp;K01+046Stand: &amp;D&amp;R&amp;"Calibri,Standard"&amp;7&amp;K01+046Version 3.7  - Oktober 2021</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18</vt:i4>
      </vt:variant>
    </vt:vector>
  </HeadingPairs>
  <TitlesOfParts>
    <vt:vector size="25" baseType="lpstr">
      <vt:lpstr>Dokumentation</vt:lpstr>
      <vt:lpstr>RT</vt:lpstr>
      <vt:lpstr>SaKo</vt:lpstr>
      <vt:lpstr>Kassenbuch</vt:lpstr>
      <vt:lpstr>Barbestand</vt:lpstr>
      <vt:lpstr>Buchungsblatt Aufwand</vt:lpstr>
      <vt:lpstr>Buchungsblatt Ertrag</vt:lpstr>
      <vt:lpstr>Aufwand</vt:lpstr>
      <vt:lpstr>Barbestand!Druckbereich</vt:lpstr>
      <vt:lpstr>'Buchungsblatt Aufwand'!Druckbereich</vt:lpstr>
      <vt:lpstr>'Buchungsblatt Ertrag'!Druckbereich</vt:lpstr>
      <vt:lpstr>Dokumentation!Druckbereich</vt:lpstr>
      <vt:lpstr>Kassenbuch!Druckbereich</vt:lpstr>
      <vt:lpstr>Dokumentation!Drucktitel</vt:lpstr>
      <vt:lpstr>Kassenbuch!Drucktitel</vt:lpstr>
      <vt:lpstr>Ertrag</vt:lpstr>
      <vt:lpstr>Gruppen</vt:lpstr>
      <vt:lpstr>Matrix</vt:lpstr>
      <vt:lpstr>Matrix1</vt:lpstr>
      <vt:lpstr>SaKoAufwand</vt:lpstr>
      <vt:lpstr>SaKoAufwandBuchungsblatt</vt:lpstr>
      <vt:lpstr>SaKoBereichAufwand</vt:lpstr>
      <vt:lpstr>SaKoBereichErtrag</vt:lpstr>
      <vt:lpstr>SaKoErtrag</vt:lpstr>
      <vt:lpstr>SaKoErtragBuchungsblatt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Heidi Stafast</dc:creator>
  <cp:lastModifiedBy>Ringelstein, Christiane</cp:lastModifiedBy>
  <cp:lastPrinted>2022-12-20T14:01:10Z</cp:lastPrinted>
  <dcterms:created xsi:type="dcterms:W3CDTF">2014-07-15T14:55:50Z</dcterms:created>
  <dcterms:modified xsi:type="dcterms:W3CDTF">2023-03-28T11:45:52Z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96 96 1680 1050</vt:lpwstr>
  </property>
</Properties>
</file>