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C:\Users\silvia\ownCloud\Doppik\100 Arbeitsprozesse\100-02 Arbeitsformulare\05-RV Oberursel\2026\2026-01 A\"/>
    </mc:Choice>
  </mc:AlternateContent>
  <bookViews>
    <workbookView xWindow="-120" yWindow="-120" windowWidth="29040" windowHeight="15720" tabRatio="694" firstSheet="3" activeTab="3"/>
  </bookViews>
  <sheets>
    <sheet name="Dokumentation" sheetId="3" state="hidden" r:id="rId1"/>
    <sheet name="RT" sheetId="2" state="hidden" r:id="rId2"/>
    <sheet name="SaKo" sheetId="4" state="hidden" r:id="rId3"/>
    <sheet name="Kassenbuch" sheetId="6" r:id="rId4"/>
    <sheet name="Barbestand" sheetId="16" r:id="rId5"/>
    <sheet name="Buchungsblatt Aufwand" sheetId="12" r:id="rId6"/>
    <sheet name="Buchungsblatt Ertrag" sheetId="13" r:id="rId7"/>
  </sheets>
  <definedNames>
    <definedName name="Aufwand">SaKo!$L$2:$L$38</definedName>
    <definedName name="_xlnm.Print_Area" localSheetId="5">'Buchungsblatt Aufwand'!$A$1:$J$34</definedName>
    <definedName name="_xlnm.Print_Area" localSheetId="6">'Buchungsblatt Ertrag'!$A$1:$K$34</definedName>
    <definedName name="_xlnm.Print_Area" localSheetId="0">Dokumentation!$A$1:$C$24</definedName>
    <definedName name="_xlnm.Print_Area" localSheetId="3">Kassenbuch!$C$1:$K$69</definedName>
    <definedName name="_xlnm.Print_Titles" localSheetId="0">Dokumentation!$1:$1</definedName>
    <definedName name="_xlnm.Print_Titles" localSheetId="3">Kassenbuch!$1:$19</definedName>
    <definedName name="Ertrag">SaKo!$F$2:$F$33</definedName>
    <definedName name="Gruppen">SaKo!$A$2:$A$3</definedName>
    <definedName name="Matrix">Kassenbuch!$U$20:$V$68</definedName>
    <definedName name="Matrix1">Kassenbuch!$AA$20:$AB$68</definedName>
    <definedName name="SaKo17">INDIRECT(INDEX(Gruppen,Kassenbuch!$S$20,1))</definedName>
    <definedName name="SaKo18">INDIRECT(INDEX(Gruppen,Kassenbuch!$S$21,1))</definedName>
    <definedName name="SaKo19">INDIRECT(INDEX(Gruppen,Kassenbuch!$S$22,1))</definedName>
    <definedName name="SaKo20">INDIRECT(INDEX(Gruppen,Kassenbuch!$S$23,1))</definedName>
    <definedName name="SaKo21">INDIRECT(INDEX(Gruppen,Kassenbuch!$S$24,1))</definedName>
    <definedName name="SaKo22">INDIRECT(INDEX(Gruppen,Kassenbuch!$S$25,1))</definedName>
    <definedName name="SaKo23">INDIRECT(INDEX(Gruppen,Kassenbuch!$S$26,1))</definedName>
    <definedName name="SaKo24">INDIRECT(INDEX(Gruppen,Kassenbuch!$S$27,1))</definedName>
    <definedName name="SaKo25">INDIRECT(INDEX(Gruppen,Kassenbuch!$S$28,1))</definedName>
    <definedName name="SaKo26">INDIRECT(INDEX(Gruppen,Kassenbuch!$S$29,1))</definedName>
    <definedName name="SaKo27">INDIRECT(INDEX(Gruppen,Kassenbuch!$S$30,1))</definedName>
    <definedName name="SaKo28">INDIRECT(INDEX(Gruppen,Kassenbuch!$S$31,1))</definedName>
    <definedName name="SaKo29">INDIRECT(INDEX(Gruppen,Kassenbuch!$S$32,1))</definedName>
    <definedName name="SaKo30">INDIRECT(INDEX(Gruppen,Kassenbuch!$S$33,1))</definedName>
    <definedName name="SaKo31">INDIRECT(INDEX(Gruppen,Kassenbuch!$S$34,1))</definedName>
    <definedName name="SaKo32">INDIRECT(INDEX(Gruppen,Kassenbuch!$S$35,1))</definedName>
    <definedName name="SaKo33">INDIRECT(INDEX(Gruppen,Kassenbuch!$S$36,1))</definedName>
    <definedName name="SaKo34">INDIRECT(INDEX(Gruppen,Kassenbuch!$S$37,1))</definedName>
    <definedName name="SaKo35">INDIRECT(INDEX(Gruppen,Kassenbuch!$S$38,1))</definedName>
    <definedName name="SaKo36">INDIRECT(INDEX(Gruppen,Kassenbuch!$S$39,1))</definedName>
    <definedName name="SaKo37">INDIRECT(INDEX(Gruppen,Kassenbuch!$S$40,1))</definedName>
    <definedName name="SaKo38">INDIRECT(INDEX(Gruppen,Kassenbuch!$S$41,1))</definedName>
    <definedName name="SaKo39">INDIRECT(INDEX(Gruppen,Kassenbuch!$S$42,1))</definedName>
    <definedName name="SaKo40">INDIRECT(INDEX(Gruppen,Kassenbuch!$S$43,1))</definedName>
    <definedName name="SaKo41">INDIRECT(INDEX(Gruppen,Kassenbuch!$S$44,1))</definedName>
    <definedName name="SaKo42">INDIRECT(INDEX(Gruppen,Kassenbuch!$S$45,1))</definedName>
    <definedName name="SaKo43">INDIRECT(INDEX(Gruppen,Kassenbuch!$S$46,1))</definedName>
    <definedName name="SaKo44">INDIRECT(INDEX(Gruppen,Kassenbuch!$S$47,1))</definedName>
    <definedName name="SaKo45">INDIRECT(INDEX(Gruppen,Kassenbuch!$S$48,1))</definedName>
    <definedName name="SaKo46">INDIRECT(INDEX(Gruppen,Kassenbuch!$S$49,1))</definedName>
    <definedName name="SaKo47">INDIRECT(INDEX(Gruppen,Kassenbuch!$S$50,1))</definedName>
    <definedName name="SaKo48">INDIRECT(INDEX(Gruppen,Kassenbuch!$S$51,1))</definedName>
    <definedName name="SaKo49">INDIRECT(INDEX(Gruppen,Kassenbuch!$S$52,1))</definedName>
    <definedName name="SaKo50">INDIRECT(INDEX(Gruppen,Kassenbuch!$S$53,1))</definedName>
    <definedName name="SaKo51">INDIRECT(INDEX(Gruppen,Kassenbuch!$S$54,1))</definedName>
    <definedName name="SaKo52">INDIRECT(INDEX(Gruppen,Kassenbuch!$S$55,1))</definedName>
    <definedName name="SaKo53">INDIRECT(INDEX(Gruppen,Kassenbuch!$S$56,1))</definedName>
    <definedName name="SaKo54">INDIRECT(INDEX(Gruppen,Kassenbuch!$S$57,1))</definedName>
    <definedName name="SaKo55">INDIRECT(INDEX(Gruppen,Kassenbuch!$S$58,1))</definedName>
    <definedName name="SaKo56">INDIRECT(INDEX(Gruppen,Kassenbuch!$S$59,1))</definedName>
    <definedName name="SaKo57">INDIRECT(INDEX(Gruppen,Kassenbuch!$S$60,1))</definedName>
    <definedName name="SaKo58">INDIRECT(INDEX(Gruppen,Kassenbuch!$S$61,1))</definedName>
    <definedName name="SaKo59">INDIRECT(INDEX(Gruppen,Kassenbuch!$S$62,1))</definedName>
    <definedName name="SaKo60">INDIRECT(INDEX(Gruppen,Kassenbuch!$S$63,1))</definedName>
    <definedName name="SaKo61">INDIRECT(INDEX(Gruppen,Kassenbuch!$S$64,1))</definedName>
    <definedName name="SaKo62">INDIRECT(INDEX(Gruppen,Kassenbuch!$S$65,1))</definedName>
    <definedName name="SaKo63">INDIRECT(INDEX(Gruppen,Kassenbuch!$S$66,1))</definedName>
    <definedName name="SaKo64">INDIRECT(INDEX(Gruppen,Kassenbuch!$S$67,1))</definedName>
    <definedName name="SaKo65">INDIRECT(INDEX(Gruppen,Kassenbuch!$S$68,1))</definedName>
    <definedName name="SaKoAufwand">SaKo!$K$2:$K$38</definedName>
    <definedName name="SaKoAufwandBuchungsblatt">SaKo!$K$2:$M$52</definedName>
    <definedName name="SaKoBereichAufwand">SaKo!$J$2:$M$38</definedName>
    <definedName name="SaKoBereichErtrag">SaKo!$C$2:$G$36</definedName>
    <definedName name="SaKoErtrag">SaKo!$E$2:$E$32</definedName>
    <definedName name="SaKoErtragBuchungsblatt">SaKo!$E$2:$G$52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0" i="2" l="1"/>
  <c r="E140" i="2" s="1"/>
  <c r="C140" i="2"/>
  <c r="E139" i="2"/>
  <c r="D139" i="2"/>
  <c r="C139" i="2"/>
  <c r="D138" i="2"/>
  <c r="E138" i="2" s="1"/>
  <c r="C138" i="2"/>
  <c r="D137" i="2"/>
  <c r="E137" i="2" s="1"/>
  <c r="C137" i="2"/>
  <c r="D136" i="2"/>
  <c r="E136" i="2" s="1"/>
  <c r="C136" i="2"/>
  <c r="D135" i="2"/>
  <c r="E135" i="2" s="1"/>
  <c r="C135" i="2"/>
  <c r="D134" i="2"/>
  <c r="E134" i="2" s="1"/>
  <c r="C134" i="2"/>
  <c r="D133" i="2"/>
  <c r="E133" i="2" s="1"/>
  <c r="C133" i="2"/>
  <c r="D132" i="2"/>
  <c r="E132" i="2" s="1"/>
  <c r="C132" i="2"/>
  <c r="D131" i="2"/>
  <c r="E131" i="2" s="1"/>
  <c r="C131" i="2"/>
  <c r="D130" i="2"/>
  <c r="E130" i="2" s="1"/>
  <c r="C130" i="2"/>
  <c r="E129" i="2"/>
  <c r="D129" i="2"/>
  <c r="C129" i="2"/>
  <c r="E128" i="2"/>
  <c r="D128" i="2"/>
  <c r="C128" i="2"/>
  <c r="E127" i="2"/>
  <c r="D127" i="2"/>
  <c r="C127" i="2"/>
  <c r="D126" i="2"/>
  <c r="E126" i="2" s="1"/>
  <c r="C126" i="2"/>
  <c r="E125" i="2"/>
  <c r="D125" i="2"/>
  <c r="C125" i="2"/>
  <c r="E124" i="2"/>
  <c r="D124" i="2"/>
  <c r="C124" i="2"/>
  <c r="E123" i="2"/>
  <c r="D123" i="2"/>
  <c r="C123" i="2"/>
  <c r="D122" i="2"/>
  <c r="E122" i="2" s="1"/>
  <c r="C122" i="2"/>
  <c r="D121" i="2"/>
  <c r="E121" i="2" s="1"/>
  <c r="C121" i="2"/>
  <c r="D120" i="2"/>
  <c r="E120" i="2" s="1"/>
  <c r="C120" i="2"/>
  <c r="D119" i="2"/>
  <c r="E119" i="2" s="1"/>
  <c r="C119" i="2"/>
  <c r="D118" i="2"/>
  <c r="E118" i="2" s="1"/>
  <c r="C118" i="2"/>
  <c r="D117" i="2"/>
  <c r="E117" i="2" s="1"/>
  <c r="C117" i="2"/>
  <c r="D116" i="2"/>
  <c r="E116" i="2" s="1"/>
  <c r="C116" i="2"/>
  <c r="D115" i="2"/>
  <c r="E115" i="2" s="1"/>
  <c r="C115" i="2"/>
  <c r="D114" i="2"/>
  <c r="E114" i="2" s="1"/>
  <c r="C114" i="2"/>
  <c r="E113" i="2"/>
  <c r="D113" i="2"/>
  <c r="C113" i="2"/>
  <c r="E112" i="2"/>
  <c r="D112" i="2"/>
  <c r="C112" i="2"/>
  <c r="E111" i="2"/>
  <c r="D111" i="2"/>
  <c r="C111" i="2"/>
  <c r="D110" i="2"/>
  <c r="E110" i="2" s="1"/>
  <c r="C110" i="2"/>
  <c r="E109" i="2"/>
  <c r="D109" i="2"/>
  <c r="C109" i="2"/>
  <c r="E108" i="2"/>
  <c r="D108" i="2"/>
  <c r="C108" i="2"/>
  <c r="E107" i="2"/>
  <c r="D107" i="2"/>
  <c r="C107" i="2"/>
  <c r="E106" i="2"/>
  <c r="D106" i="2"/>
  <c r="C106" i="2"/>
  <c r="D105" i="2"/>
  <c r="E105" i="2" s="1"/>
  <c r="C105" i="2"/>
  <c r="D104" i="2"/>
  <c r="E104" i="2" s="1"/>
  <c r="C104" i="2"/>
  <c r="D103" i="2"/>
  <c r="E103" i="2" s="1"/>
  <c r="C103" i="2"/>
  <c r="D102" i="2"/>
  <c r="E102" i="2" s="1"/>
  <c r="C102" i="2"/>
  <c r="D101" i="2"/>
  <c r="E101" i="2" s="1"/>
  <c r="C101" i="2"/>
  <c r="D100" i="2"/>
  <c r="E100" i="2" s="1"/>
  <c r="C100" i="2"/>
  <c r="D99" i="2"/>
  <c r="E99" i="2" s="1"/>
  <c r="C99" i="2"/>
  <c r="D98" i="2"/>
  <c r="E98" i="2" s="1"/>
  <c r="C98" i="2"/>
  <c r="E97" i="2"/>
  <c r="D97" i="2"/>
  <c r="C97" i="2"/>
  <c r="E96" i="2"/>
  <c r="D96" i="2"/>
  <c r="C96" i="2"/>
  <c r="E95" i="2"/>
  <c r="D95" i="2"/>
  <c r="C95" i="2"/>
  <c r="D94" i="2"/>
  <c r="E94" i="2" s="1"/>
  <c r="C94" i="2"/>
  <c r="E93" i="2"/>
  <c r="D93" i="2"/>
  <c r="C93" i="2"/>
  <c r="E92" i="2"/>
  <c r="D92" i="2"/>
  <c r="C92" i="2"/>
  <c r="E91" i="2"/>
  <c r="D91" i="2"/>
  <c r="C91" i="2"/>
  <c r="E90" i="2"/>
  <c r="D90" i="2"/>
  <c r="C90" i="2"/>
  <c r="D89" i="2"/>
  <c r="E89" i="2" s="1"/>
  <c r="C89" i="2"/>
  <c r="D88" i="2"/>
  <c r="E88" i="2" s="1"/>
  <c r="C88" i="2"/>
  <c r="D87" i="2"/>
  <c r="E87" i="2" s="1"/>
  <c r="C87" i="2"/>
  <c r="D86" i="2"/>
  <c r="E86" i="2" s="1"/>
  <c r="C86" i="2"/>
  <c r="D85" i="2"/>
  <c r="E85" i="2" s="1"/>
  <c r="C85" i="2"/>
  <c r="D84" i="2"/>
  <c r="E84" i="2" s="1"/>
  <c r="C84" i="2"/>
  <c r="D83" i="2"/>
  <c r="E83" i="2" s="1"/>
  <c r="C83" i="2"/>
  <c r="D82" i="2"/>
  <c r="E82" i="2" s="1"/>
  <c r="C82" i="2"/>
  <c r="E81" i="2"/>
  <c r="D81" i="2"/>
  <c r="C81" i="2"/>
  <c r="E80" i="2"/>
  <c r="D80" i="2"/>
  <c r="C80" i="2"/>
  <c r="E79" i="2"/>
  <c r="D79" i="2"/>
  <c r="C79" i="2"/>
  <c r="D78" i="2"/>
  <c r="E78" i="2" s="1"/>
  <c r="C78" i="2"/>
  <c r="E77" i="2"/>
  <c r="D77" i="2"/>
  <c r="C77" i="2"/>
  <c r="E76" i="2"/>
  <c r="D76" i="2"/>
  <c r="C76" i="2"/>
  <c r="E75" i="2"/>
  <c r="D75" i="2"/>
  <c r="C75" i="2"/>
  <c r="E74" i="2"/>
  <c r="D74" i="2"/>
  <c r="C74" i="2"/>
  <c r="D73" i="2"/>
  <c r="E73" i="2" s="1"/>
  <c r="C73" i="2"/>
  <c r="D72" i="2"/>
  <c r="E72" i="2" s="1"/>
  <c r="C72" i="2"/>
  <c r="D71" i="2"/>
  <c r="E71" i="2" s="1"/>
  <c r="C71" i="2"/>
  <c r="D70" i="2"/>
  <c r="E70" i="2" s="1"/>
  <c r="C70" i="2"/>
  <c r="D69" i="2"/>
  <c r="E69" i="2" s="1"/>
  <c r="C69" i="2"/>
  <c r="D68" i="2"/>
  <c r="E68" i="2" s="1"/>
  <c r="C68" i="2"/>
  <c r="D67" i="2"/>
  <c r="E67" i="2" s="1"/>
  <c r="C67" i="2"/>
  <c r="D66" i="2"/>
  <c r="E66" i="2" s="1"/>
  <c r="C66" i="2"/>
  <c r="E65" i="2"/>
  <c r="D65" i="2"/>
  <c r="C65" i="2"/>
  <c r="E64" i="2"/>
  <c r="D64" i="2"/>
  <c r="C64" i="2"/>
  <c r="E63" i="2"/>
  <c r="D63" i="2"/>
  <c r="C63" i="2"/>
  <c r="D62" i="2"/>
  <c r="E62" i="2" s="1"/>
  <c r="C62" i="2"/>
  <c r="E61" i="2"/>
  <c r="D61" i="2"/>
  <c r="C61" i="2"/>
  <c r="E60" i="2"/>
  <c r="D60" i="2"/>
  <c r="C60" i="2"/>
  <c r="E59" i="2"/>
  <c r="D59" i="2"/>
  <c r="C59" i="2"/>
  <c r="E58" i="2"/>
  <c r="D58" i="2"/>
  <c r="C58" i="2"/>
  <c r="D57" i="2"/>
  <c r="E57" i="2" s="1"/>
  <c r="C57" i="2"/>
  <c r="D56" i="2"/>
  <c r="E56" i="2" s="1"/>
  <c r="C56" i="2"/>
  <c r="D55" i="2"/>
  <c r="E55" i="2" s="1"/>
  <c r="C55" i="2"/>
  <c r="D54" i="2"/>
  <c r="E54" i="2" s="1"/>
  <c r="C54" i="2"/>
  <c r="D53" i="2"/>
  <c r="E53" i="2" s="1"/>
  <c r="C53" i="2"/>
  <c r="D52" i="2"/>
  <c r="E52" i="2" s="1"/>
  <c r="C52" i="2"/>
  <c r="D51" i="2"/>
  <c r="E51" i="2" s="1"/>
  <c r="C51" i="2"/>
  <c r="D50" i="2"/>
  <c r="E50" i="2" s="1"/>
  <c r="C50" i="2"/>
  <c r="E49" i="2"/>
  <c r="D49" i="2"/>
  <c r="C49" i="2"/>
  <c r="E48" i="2"/>
  <c r="D48" i="2"/>
  <c r="C48" i="2"/>
  <c r="E47" i="2"/>
  <c r="D47" i="2"/>
  <c r="C47" i="2"/>
  <c r="D46" i="2"/>
  <c r="E46" i="2" s="1"/>
  <c r="C46" i="2"/>
  <c r="E45" i="2"/>
  <c r="D45" i="2"/>
  <c r="C45" i="2"/>
  <c r="E44" i="2"/>
  <c r="D44" i="2"/>
  <c r="C44" i="2"/>
  <c r="E43" i="2"/>
  <c r="D43" i="2"/>
  <c r="C43" i="2"/>
  <c r="E42" i="2"/>
  <c r="D42" i="2"/>
  <c r="C42" i="2"/>
  <c r="D41" i="2"/>
  <c r="E41" i="2" s="1"/>
  <c r="C41" i="2"/>
  <c r="D40" i="2"/>
  <c r="E40" i="2" s="1"/>
  <c r="C40" i="2"/>
  <c r="D39" i="2"/>
  <c r="E39" i="2" s="1"/>
  <c r="C39" i="2"/>
  <c r="D38" i="2"/>
  <c r="E38" i="2" s="1"/>
  <c r="C38" i="2"/>
  <c r="D37" i="2"/>
  <c r="E37" i="2" s="1"/>
  <c r="C37" i="2"/>
  <c r="D36" i="2"/>
  <c r="E36" i="2" s="1"/>
  <c r="C36" i="2"/>
  <c r="D35" i="2"/>
  <c r="E35" i="2" s="1"/>
  <c r="C35" i="2"/>
  <c r="D34" i="2"/>
  <c r="E34" i="2" s="1"/>
  <c r="C34" i="2"/>
  <c r="E33" i="2"/>
  <c r="D33" i="2"/>
  <c r="C33" i="2"/>
  <c r="E32" i="2"/>
  <c r="D32" i="2"/>
  <c r="C32" i="2"/>
  <c r="E31" i="2"/>
  <c r="D31" i="2"/>
  <c r="C31" i="2"/>
  <c r="D30" i="2"/>
  <c r="E30" i="2" s="1"/>
  <c r="C30" i="2"/>
  <c r="E29" i="2"/>
  <c r="D29" i="2"/>
  <c r="C29" i="2"/>
  <c r="E28" i="2"/>
  <c r="D28" i="2"/>
  <c r="C28" i="2"/>
  <c r="E27" i="2"/>
  <c r="D27" i="2"/>
  <c r="C27" i="2"/>
  <c r="E26" i="2"/>
  <c r="D26" i="2"/>
  <c r="C26" i="2"/>
  <c r="D25" i="2"/>
  <c r="E25" i="2" s="1"/>
  <c r="C25" i="2"/>
  <c r="D24" i="2"/>
  <c r="E24" i="2" s="1"/>
  <c r="C24" i="2"/>
  <c r="D23" i="2"/>
  <c r="E23" i="2" s="1"/>
  <c r="C23" i="2"/>
  <c r="D22" i="2"/>
  <c r="E22" i="2" s="1"/>
  <c r="C22" i="2"/>
  <c r="D21" i="2"/>
  <c r="E21" i="2" s="1"/>
  <c r="C21" i="2"/>
  <c r="D20" i="2"/>
  <c r="E20" i="2" s="1"/>
  <c r="C20" i="2"/>
  <c r="D19" i="2"/>
  <c r="E19" i="2" s="1"/>
  <c r="C19" i="2"/>
  <c r="D18" i="2"/>
  <c r="E18" i="2" s="1"/>
  <c r="C18" i="2"/>
  <c r="E17" i="2"/>
  <c r="D17" i="2"/>
  <c r="C17" i="2"/>
  <c r="E16" i="2"/>
  <c r="D16" i="2"/>
  <c r="C16" i="2"/>
  <c r="E15" i="2"/>
  <c r="D15" i="2"/>
  <c r="C15" i="2"/>
  <c r="D14" i="2"/>
  <c r="E14" i="2" s="1"/>
  <c r="C14" i="2"/>
  <c r="E13" i="2"/>
  <c r="D13" i="2"/>
  <c r="C13" i="2"/>
  <c r="E12" i="2"/>
  <c r="D12" i="2"/>
  <c r="C12" i="2"/>
  <c r="E11" i="2"/>
  <c r="D11" i="2"/>
  <c r="C11" i="2"/>
  <c r="D10" i="2"/>
  <c r="E10" i="2" s="1"/>
  <c r="C10" i="2"/>
  <c r="D9" i="2"/>
  <c r="E9" i="2" s="1"/>
  <c r="C9" i="2"/>
  <c r="D8" i="2"/>
  <c r="E8" i="2" s="1"/>
  <c r="C8" i="2"/>
  <c r="D7" i="2"/>
  <c r="E7" i="2" s="1"/>
  <c r="C7" i="2"/>
  <c r="D6" i="2"/>
  <c r="E6" i="2" s="1"/>
  <c r="C6" i="2"/>
  <c r="D5" i="2"/>
  <c r="E5" i="2" s="1"/>
  <c r="C5" i="2"/>
  <c r="D4" i="2"/>
  <c r="E4" i="2" s="1"/>
  <c r="C4" i="2"/>
  <c r="D3" i="2"/>
  <c r="E3" i="2" s="1"/>
  <c r="C3" i="2"/>
  <c r="D2" i="2"/>
  <c r="E2" i="2" s="1"/>
  <c r="C2" i="2"/>
  <c r="H11" i="13" l="1"/>
  <c r="G11" i="13"/>
  <c r="F11" i="13"/>
  <c r="D11" i="13"/>
  <c r="C11" i="13"/>
  <c r="B11" i="13"/>
  <c r="B10" i="13"/>
  <c r="K39" i="6"/>
  <c r="G22" i="16" l="1"/>
  <c r="C22" i="16"/>
  <c r="H14" i="16"/>
  <c r="H15" i="16"/>
  <c r="H16" i="16"/>
  <c r="H17" i="16"/>
  <c r="H18" i="16"/>
  <c r="H19" i="16"/>
  <c r="H20" i="16"/>
  <c r="H13" i="16"/>
  <c r="H22" i="16" s="1"/>
  <c r="D14" i="16"/>
  <c r="D15" i="16"/>
  <c r="D16" i="16"/>
  <c r="D17" i="16"/>
  <c r="D18" i="16"/>
  <c r="D19" i="16"/>
  <c r="D13" i="16"/>
  <c r="D22" i="16" s="1"/>
  <c r="H24" i="16" s="1"/>
  <c r="K11" i="6" s="1"/>
  <c r="B6" i="16" l="1"/>
  <c r="C4" i="16"/>
  <c r="G2" i="16"/>
  <c r="S65" i="13" l="1"/>
  <c r="Z21" i="6"/>
  <c r="Z22" i="6"/>
  <c r="Z23" i="6"/>
  <c r="Z24" i="6"/>
  <c r="Z25" i="6"/>
  <c r="Z26" i="6"/>
  <c r="Z27" i="6"/>
  <c r="Z28" i="6"/>
  <c r="Z29" i="6"/>
  <c r="Z30" i="6"/>
  <c r="Z31" i="6"/>
  <c r="Z32" i="6"/>
  <c r="Z33" i="6"/>
  <c r="Z34" i="6"/>
  <c r="Z35" i="6"/>
  <c r="Z36" i="6"/>
  <c r="Z37" i="6"/>
  <c r="Z38" i="6"/>
  <c r="Z39" i="6"/>
  <c r="Z40" i="6"/>
  <c r="Z41" i="6"/>
  <c r="Z42" i="6"/>
  <c r="Z43" i="6"/>
  <c r="Z44" i="6"/>
  <c r="Z45" i="6"/>
  <c r="Z46" i="6"/>
  <c r="Z47" i="6"/>
  <c r="Z48" i="6"/>
  <c r="Z49" i="6"/>
  <c r="Z50" i="6"/>
  <c r="Z51" i="6"/>
  <c r="Z52" i="6"/>
  <c r="Z53" i="6"/>
  <c r="Z54" i="6"/>
  <c r="Z55" i="6"/>
  <c r="Z56" i="6"/>
  <c r="Z57" i="6"/>
  <c r="Z58" i="6"/>
  <c r="Z59" i="6"/>
  <c r="Z60" i="6"/>
  <c r="Z61" i="6"/>
  <c r="Z62" i="6"/>
  <c r="Z63" i="6"/>
  <c r="Z64" i="6"/>
  <c r="Z65" i="6"/>
  <c r="Z66" i="6"/>
  <c r="Z67" i="6"/>
  <c r="Z68" i="6"/>
  <c r="Z20" i="6"/>
  <c r="T20" i="6"/>
  <c r="E9" i="13"/>
  <c r="B9" i="13"/>
  <c r="B5" i="13"/>
  <c r="J2" i="13"/>
  <c r="R65" i="12" l="1"/>
  <c r="T22" i="6"/>
  <c r="T21" i="6"/>
  <c r="T23" i="6" l="1"/>
  <c r="S21" i="6"/>
  <c r="H21" i="6" s="1"/>
  <c r="AA21" i="6" s="1"/>
  <c r="S22" i="6"/>
  <c r="H22" i="6" s="1"/>
  <c r="AA22" i="6" s="1"/>
  <c r="S23" i="6"/>
  <c r="H23" i="6" s="1"/>
  <c r="S24" i="6"/>
  <c r="H24" i="6" s="1"/>
  <c r="S25" i="6"/>
  <c r="S26" i="6"/>
  <c r="S27" i="6"/>
  <c r="S28" i="6"/>
  <c r="S29" i="6"/>
  <c r="S30" i="6"/>
  <c r="S31" i="6"/>
  <c r="S32" i="6"/>
  <c r="S33" i="6"/>
  <c r="H33" i="6" s="1"/>
  <c r="S34" i="6"/>
  <c r="S35" i="6"/>
  <c r="S36" i="6"/>
  <c r="S37" i="6"/>
  <c r="S38" i="6"/>
  <c r="S39" i="6"/>
  <c r="S40" i="6"/>
  <c r="H40" i="6" s="1"/>
  <c r="S41" i="6"/>
  <c r="H41" i="6" s="1"/>
  <c r="S42" i="6"/>
  <c r="H42" i="6" s="1"/>
  <c r="S43" i="6"/>
  <c r="H43" i="6" s="1"/>
  <c r="S44" i="6"/>
  <c r="H44" i="6" s="1"/>
  <c r="S45" i="6"/>
  <c r="H45" i="6" s="1"/>
  <c r="S46" i="6"/>
  <c r="H46" i="6" s="1"/>
  <c r="S47" i="6"/>
  <c r="H47" i="6" s="1"/>
  <c r="S48" i="6"/>
  <c r="H48" i="6" s="1"/>
  <c r="S49" i="6"/>
  <c r="H49" i="6" s="1"/>
  <c r="S50" i="6"/>
  <c r="H50" i="6" s="1"/>
  <c r="S51" i="6"/>
  <c r="H51" i="6" s="1"/>
  <c r="S52" i="6"/>
  <c r="H52" i="6" s="1"/>
  <c r="S53" i="6"/>
  <c r="H53" i="6" s="1"/>
  <c r="S54" i="6"/>
  <c r="H54" i="6" s="1"/>
  <c r="S55" i="6"/>
  <c r="H55" i="6" s="1"/>
  <c r="S56" i="6"/>
  <c r="H56" i="6" s="1"/>
  <c r="S57" i="6"/>
  <c r="H57" i="6" s="1"/>
  <c r="S58" i="6"/>
  <c r="H58" i="6" s="1"/>
  <c r="S59" i="6"/>
  <c r="H59" i="6" s="1"/>
  <c r="S60" i="6"/>
  <c r="H60" i="6" s="1"/>
  <c r="S61" i="6"/>
  <c r="H61" i="6" s="1"/>
  <c r="S62" i="6"/>
  <c r="H62" i="6" s="1"/>
  <c r="S63" i="6"/>
  <c r="H63" i="6" s="1"/>
  <c r="S64" i="6"/>
  <c r="H64" i="6" s="1"/>
  <c r="S65" i="6"/>
  <c r="H65" i="6" s="1"/>
  <c r="S66" i="6"/>
  <c r="H66" i="6" s="1"/>
  <c r="S67" i="6"/>
  <c r="H67" i="6" s="1"/>
  <c r="S68" i="6"/>
  <c r="H68" i="6" s="1"/>
  <c r="S20" i="6"/>
  <c r="H20" i="6" s="1"/>
  <c r="AA20" i="6" s="1"/>
  <c r="U68" i="6" l="1"/>
  <c r="AA68" i="6"/>
  <c r="U52" i="6"/>
  <c r="AA52" i="6"/>
  <c r="U67" i="6"/>
  <c r="AA67" i="6"/>
  <c r="U43" i="6"/>
  <c r="AA43" i="6"/>
  <c r="U58" i="6"/>
  <c r="AA58" i="6"/>
  <c r="U42" i="6"/>
  <c r="AA42" i="6"/>
  <c r="U65" i="6"/>
  <c r="AA65" i="6"/>
  <c r="U57" i="6"/>
  <c r="AA57" i="6"/>
  <c r="U49" i="6"/>
  <c r="AA49" i="6"/>
  <c r="U41" i="6"/>
  <c r="AA41" i="6"/>
  <c r="U33" i="6"/>
  <c r="AA33" i="6"/>
  <c r="U59" i="6"/>
  <c r="AA59" i="6"/>
  <c r="U66" i="6"/>
  <c r="AA66" i="6"/>
  <c r="U50" i="6"/>
  <c r="AA50" i="6"/>
  <c r="U64" i="6"/>
  <c r="AA64" i="6"/>
  <c r="U56" i="6"/>
  <c r="AA56" i="6"/>
  <c r="U48" i="6"/>
  <c r="AA48" i="6"/>
  <c r="U40" i="6"/>
  <c r="AA40" i="6"/>
  <c r="U24" i="6"/>
  <c r="AA24" i="6"/>
  <c r="U60" i="6"/>
  <c r="AA60" i="6"/>
  <c r="U63" i="6"/>
  <c r="AA63" i="6"/>
  <c r="U47" i="6"/>
  <c r="AA47" i="6"/>
  <c r="U62" i="6"/>
  <c r="AA62" i="6"/>
  <c r="U54" i="6"/>
  <c r="AA54" i="6"/>
  <c r="U46" i="6"/>
  <c r="AA46" i="6"/>
  <c r="U44" i="6"/>
  <c r="AA44" i="6"/>
  <c r="U51" i="6"/>
  <c r="AA51" i="6"/>
  <c r="U55" i="6"/>
  <c r="AA55" i="6"/>
  <c r="U61" i="6"/>
  <c r="AA61" i="6"/>
  <c r="U53" i="6"/>
  <c r="AA53" i="6"/>
  <c r="U45" i="6"/>
  <c r="AA45" i="6"/>
  <c r="U23" i="6"/>
  <c r="AA23" i="6"/>
  <c r="U22" i="6"/>
  <c r="U20" i="6"/>
  <c r="U21" i="6"/>
  <c r="V20" i="6"/>
  <c r="T24" i="6" l="1"/>
  <c r="T25" i="6"/>
  <c r="H25" i="6" s="1"/>
  <c r="T26" i="6"/>
  <c r="H26" i="6" s="1"/>
  <c r="T27" i="6"/>
  <c r="H27" i="6" s="1"/>
  <c r="T28" i="6"/>
  <c r="H28" i="6" s="1"/>
  <c r="T29" i="6"/>
  <c r="H29" i="6" s="1"/>
  <c r="T30" i="6"/>
  <c r="H30" i="6" s="1"/>
  <c r="T31" i="6"/>
  <c r="H31" i="6" s="1"/>
  <c r="T32" i="6"/>
  <c r="H32" i="6" s="1"/>
  <c r="T33" i="6"/>
  <c r="T34" i="6"/>
  <c r="H34" i="6" s="1"/>
  <c r="T35" i="6"/>
  <c r="H35" i="6" s="1"/>
  <c r="T36" i="6"/>
  <c r="H36" i="6" s="1"/>
  <c r="T37" i="6"/>
  <c r="H37" i="6" s="1"/>
  <c r="T38" i="6"/>
  <c r="H38" i="6" s="1"/>
  <c r="T39" i="6"/>
  <c r="H39" i="6" s="1"/>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AA39" i="6" l="1"/>
  <c r="U39" i="6"/>
  <c r="U38" i="6"/>
  <c r="AA38" i="6"/>
  <c r="AA37" i="6"/>
  <c r="U37" i="6"/>
  <c r="U36" i="6"/>
  <c r="AA36" i="6"/>
  <c r="U35" i="6"/>
  <c r="AA35" i="6"/>
  <c r="AA34" i="6"/>
  <c r="U34" i="6"/>
  <c r="AA32" i="6"/>
  <c r="U32" i="6"/>
  <c r="U31" i="6"/>
  <c r="AA31" i="6"/>
  <c r="U30" i="6"/>
  <c r="AA30" i="6"/>
  <c r="U29" i="6"/>
  <c r="AA29" i="6"/>
  <c r="U28" i="6"/>
  <c r="AA28" i="6"/>
  <c r="AA27" i="6"/>
  <c r="U27" i="6"/>
  <c r="AA26" i="6"/>
  <c r="U26" i="6"/>
  <c r="U25" i="6"/>
  <c r="AA25" i="6"/>
  <c r="M16" i="12" l="1"/>
  <c r="F5" i="6"/>
  <c r="J2" i="6"/>
  <c r="E9" i="12" l="1"/>
  <c r="B9" i="12"/>
  <c r="B5" i="12"/>
  <c r="I2" i="12"/>
  <c r="K57" i="6" l="1"/>
  <c r="A27" i="6" l="1"/>
  <c r="A34" i="6"/>
  <c r="A42" i="6"/>
  <c r="A43" i="6"/>
  <c r="A44" i="6"/>
  <c r="A45" i="6"/>
  <c r="A46" i="6"/>
  <c r="A47" i="6"/>
  <c r="A48" i="6"/>
  <c r="A49" i="6"/>
  <c r="A50" i="6"/>
  <c r="A51" i="6"/>
  <c r="A52" i="6"/>
  <c r="A53" i="6"/>
  <c r="A54" i="6"/>
  <c r="A55" i="6"/>
  <c r="A56" i="6"/>
  <c r="A58" i="6"/>
  <c r="A59" i="6"/>
  <c r="A60" i="6"/>
  <c r="A61" i="6"/>
  <c r="A62" i="6"/>
  <c r="A63" i="6"/>
  <c r="A64" i="6"/>
  <c r="A65" i="6"/>
  <c r="A66" i="6"/>
  <c r="A67" i="6"/>
  <c r="A68" i="6"/>
  <c r="K23" i="6" l="1"/>
  <c r="AB20" i="6" l="1"/>
  <c r="W23" i="6" l="1"/>
  <c r="X23" i="6" s="1"/>
  <c r="B23" i="6" l="1"/>
  <c r="V21" i="6" l="1"/>
  <c r="V22" i="6"/>
  <c r="V23" i="6"/>
  <c r="V24" i="6"/>
  <c r="V25" i="6"/>
  <c r="V26" i="6"/>
  <c r="V27" i="6"/>
  <c r="V28" i="6"/>
  <c r="V29" i="6"/>
  <c r="V30" i="6"/>
  <c r="V31" i="6"/>
  <c r="V32" i="6"/>
  <c r="V33" i="6"/>
  <c r="V34" i="6"/>
  <c r="V35" i="6"/>
  <c r="V36" i="6"/>
  <c r="V37" i="6"/>
  <c r="V38" i="6"/>
  <c r="V39" i="6"/>
  <c r="V40" i="6"/>
  <c r="V41" i="6"/>
  <c r="V42" i="6"/>
  <c r="V43" i="6"/>
  <c r="V44" i="6"/>
  <c r="V45" i="6"/>
  <c r="V46" i="6"/>
  <c r="V47" i="6"/>
  <c r="V48" i="6"/>
  <c r="V49" i="6"/>
  <c r="V50" i="6"/>
  <c r="V51" i="6"/>
  <c r="V52" i="6"/>
  <c r="V53" i="6"/>
  <c r="V54" i="6"/>
  <c r="V55" i="6"/>
  <c r="V56" i="6"/>
  <c r="V57" i="6"/>
  <c r="V58" i="6"/>
  <c r="V59" i="6"/>
  <c r="V60" i="6"/>
  <c r="V61" i="6"/>
  <c r="V62" i="6"/>
  <c r="V63" i="6"/>
  <c r="V64" i="6"/>
  <c r="V65" i="6"/>
  <c r="V66" i="6"/>
  <c r="V67" i="6"/>
  <c r="V68" i="6"/>
  <c r="AB21" i="6"/>
  <c r="AB22" i="6"/>
  <c r="AB23" i="6"/>
  <c r="AB24" i="6"/>
  <c r="AB25" i="6"/>
  <c r="AB26" i="6"/>
  <c r="AB27" i="6"/>
  <c r="AB28" i="6"/>
  <c r="AB29" i="6"/>
  <c r="AB30" i="6"/>
  <c r="AB31" i="6"/>
  <c r="AB32" i="6"/>
  <c r="A32" i="6" s="1"/>
  <c r="AB33" i="6"/>
  <c r="A33" i="6" s="1"/>
  <c r="AB34" i="6"/>
  <c r="AB35" i="6"/>
  <c r="A35" i="6" s="1"/>
  <c r="AB36" i="6"/>
  <c r="A36" i="6" s="1"/>
  <c r="AB37" i="6"/>
  <c r="A37" i="6" s="1"/>
  <c r="AB38" i="6"/>
  <c r="A38" i="6" s="1"/>
  <c r="AB39" i="6"/>
  <c r="A39" i="6" s="1"/>
  <c r="AB40" i="6"/>
  <c r="AB41" i="6"/>
  <c r="A41" i="6" s="1"/>
  <c r="AB42" i="6"/>
  <c r="AB43" i="6"/>
  <c r="AB44" i="6"/>
  <c r="AB45" i="6"/>
  <c r="AB46" i="6"/>
  <c r="AB47" i="6"/>
  <c r="AB48" i="6"/>
  <c r="AB49" i="6"/>
  <c r="AB50" i="6"/>
  <c r="AB51" i="6"/>
  <c r="AB52" i="6"/>
  <c r="AB53" i="6"/>
  <c r="AB54" i="6"/>
  <c r="AB55" i="6"/>
  <c r="AB56" i="6"/>
  <c r="AB57" i="6"/>
  <c r="A57" i="6" s="1"/>
  <c r="AB58" i="6"/>
  <c r="AB59" i="6"/>
  <c r="AB60" i="6"/>
  <c r="AB61" i="6"/>
  <c r="AB62" i="6"/>
  <c r="AB63" i="6"/>
  <c r="AB64" i="6"/>
  <c r="AB65" i="6"/>
  <c r="AB66" i="6"/>
  <c r="AB67" i="6"/>
  <c r="AB68" i="6"/>
  <c r="A31" i="6" l="1"/>
  <c r="A30" i="6"/>
  <c r="A26" i="6"/>
  <c r="A29" i="6"/>
  <c r="A25" i="6"/>
  <c r="A28" i="6"/>
  <c r="K20" i="6" l="1"/>
  <c r="K21" i="6" s="1"/>
  <c r="A24" i="6" l="1"/>
  <c r="A23" i="6"/>
  <c r="A40" i="6" l="1"/>
  <c r="N54" i="13"/>
  <c r="N43" i="13"/>
  <c r="N22" i="13"/>
  <c r="N42" i="13"/>
  <c r="N57" i="13"/>
  <c r="N29" i="13"/>
  <c r="N47" i="13"/>
  <c r="N38" i="13"/>
  <c r="N25" i="13"/>
  <c r="N40" i="13"/>
  <c r="N23" i="13"/>
  <c r="N46" i="13"/>
  <c r="N27" i="13"/>
  <c r="N21" i="13"/>
  <c r="N51" i="13"/>
  <c r="N48" i="13"/>
  <c r="N45" i="13"/>
  <c r="N39" i="13"/>
  <c r="N28" i="13"/>
  <c r="N30" i="13"/>
  <c r="N53" i="13"/>
  <c r="N24" i="13"/>
  <c r="N34" i="13"/>
  <c r="N50" i="13"/>
  <c r="N26" i="13"/>
  <c r="N59" i="13"/>
  <c r="N31" i="13"/>
  <c r="N18" i="13"/>
  <c r="N33" i="13"/>
  <c r="N62" i="13"/>
  <c r="N19" i="13"/>
  <c r="N36" i="13"/>
  <c r="N32" i="13"/>
  <c r="N56" i="13"/>
  <c r="N41" i="13"/>
  <c r="N49" i="13"/>
  <c r="N20" i="13"/>
  <c r="N37" i="13"/>
  <c r="N58" i="13"/>
  <c r="N35" i="13"/>
  <c r="N61" i="13"/>
  <c r="N55" i="13"/>
  <c r="N17" i="13"/>
  <c r="N52" i="13"/>
  <c r="N64" i="13"/>
  <c r="N60" i="13"/>
  <c r="N63" i="13"/>
  <c r="N44" i="13"/>
  <c r="N16" i="13"/>
  <c r="A21" i="6"/>
  <c r="A22" i="6"/>
  <c r="AC21" i="6"/>
  <c r="AC22" i="6"/>
  <c r="AC23" i="6"/>
  <c r="AC24" i="6"/>
  <c r="AC25" i="6"/>
  <c r="AC26" i="6"/>
  <c r="AC27" i="6"/>
  <c r="AC28" i="6"/>
  <c r="AC29" i="6"/>
  <c r="AC30" i="6"/>
  <c r="AC31" i="6"/>
  <c r="AC32" i="6"/>
  <c r="AC33" i="6"/>
  <c r="AC34" i="6"/>
  <c r="AC35" i="6"/>
  <c r="AC36" i="6"/>
  <c r="AC37" i="6"/>
  <c r="AC38" i="6"/>
  <c r="AC39" i="6"/>
  <c r="AC40" i="6"/>
  <c r="AC41" i="6"/>
  <c r="AC42" i="6"/>
  <c r="AC43" i="6"/>
  <c r="AC44" i="6"/>
  <c r="AC45" i="6"/>
  <c r="AC46" i="6"/>
  <c r="AC47" i="6"/>
  <c r="AC48" i="6"/>
  <c r="AC49" i="6"/>
  <c r="AC50" i="6"/>
  <c r="AC51" i="6"/>
  <c r="AC52" i="6"/>
  <c r="AC53" i="6"/>
  <c r="AC54" i="6"/>
  <c r="AC55" i="6"/>
  <c r="AC56" i="6"/>
  <c r="AC57" i="6"/>
  <c r="AC58" i="6"/>
  <c r="AC59" i="6"/>
  <c r="AC60" i="6"/>
  <c r="AC61" i="6"/>
  <c r="AC62" i="6"/>
  <c r="AC63" i="6"/>
  <c r="AC64" i="6"/>
  <c r="AC65" i="6"/>
  <c r="AC66" i="6"/>
  <c r="AC67" i="6"/>
  <c r="AC68" i="6"/>
  <c r="AC20" i="6"/>
  <c r="W21" i="6"/>
  <c r="X21" i="6" s="1"/>
  <c r="W22" i="6"/>
  <c r="X22" i="6" s="1"/>
  <c r="W24" i="6"/>
  <c r="W25" i="6"/>
  <c r="W26" i="6"/>
  <c r="X26" i="6" s="1"/>
  <c r="W27" i="6"/>
  <c r="X27" i="6" s="1"/>
  <c r="W28" i="6"/>
  <c r="X28" i="6" s="1"/>
  <c r="W29" i="6"/>
  <c r="X29" i="6" s="1"/>
  <c r="W30" i="6"/>
  <c r="X30" i="6" s="1"/>
  <c r="W31" i="6"/>
  <c r="X31" i="6" s="1"/>
  <c r="W32" i="6"/>
  <c r="X32" i="6" s="1"/>
  <c r="W33" i="6"/>
  <c r="X33" i="6" s="1"/>
  <c r="W34" i="6"/>
  <c r="X34" i="6" s="1"/>
  <c r="W35" i="6"/>
  <c r="X35" i="6" s="1"/>
  <c r="W36" i="6"/>
  <c r="X36" i="6" s="1"/>
  <c r="W37" i="6"/>
  <c r="X37" i="6" s="1"/>
  <c r="W38" i="6"/>
  <c r="X38" i="6" s="1"/>
  <c r="W39" i="6"/>
  <c r="X39" i="6" s="1"/>
  <c r="W40" i="6"/>
  <c r="X40" i="6" s="1"/>
  <c r="W41" i="6"/>
  <c r="X41" i="6" s="1"/>
  <c r="W42" i="6"/>
  <c r="X42" i="6" s="1"/>
  <c r="W43" i="6"/>
  <c r="X43" i="6" s="1"/>
  <c r="W44" i="6"/>
  <c r="X44" i="6" s="1"/>
  <c r="W45" i="6"/>
  <c r="X45" i="6" s="1"/>
  <c r="W46" i="6"/>
  <c r="X46" i="6" s="1"/>
  <c r="W47" i="6"/>
  <c r="X47" i="6" s="1"/>
  <c r="W48" i="6"/>
  <c r="X48" i="6" s="1"/>
  <c r="W49" i="6"/>
  <c r="X49" i="6" s="1"/>
  <c r="W50" i="6"/>
  <c r="X50" i="6" s="1"/>
  <c r="W51" i="6"/>
  <c r="X51" i="6" s="1"/>
  <c r="W52" i="6"/>
  <c r="X52" i="6" s="1"/>
  <c r="W53" i="6"/>
  <c r="X53" i="6" s="1"/>
  <c r="W54" i="6"/>
  <c r="X54" i="6" s="1"/>
  <c r="W55" i="6"/>
  <c r="X55" i="6" s="1"/>
  <c r="W56" i="6"/>
  <c r="X56" i="6" s="1"/>
  <c r="W57" i="6"/>
  <c r="X57" i="6" s="1"/>
  <c r="W58" i="6"/>
  <c r="X58" i="6" s="1"/>
  <c r="W59" i="6"/>
  <c r="X59" i="6" s="1"/>
  <c r="W60" i="6"/>
  <c r="X60" i="6" s="1"/>
  <c r="W61" i="6"/>
  <c r="X61" i="6" s="1"/>
  <c r="W62" i="6"/>
  <c r="X62" i="6" s="1"/>
  <c r="W63" i="6"/>
  <c r="X63" i="6" s="1"/>
  <c r="W64" i="6"/>
  <c r="X64" i="6" s="1"/>
  <c r="W65" i="6"/>
  <c r="X65" i="6" s="1"/>
  <c r="W66" i="6"/>
  <c r="X66" i="6" s="1"/>
  <c r="W67" i="6"/>
  <c r="X67" i="6" s="1"/>
  <c r="W68" i="6"/>
  <c r="X68" i="6" s="1"/>
  <c r="W20" i="6"/>
  <c r="X20" i="6" s="1"/>
  <c r="X25" i="6" l="1"/>
  <c r="B25" i="6" s="1"/>
  <c r="X24" i="6"/>
  <c r="B24" i="6" s="1"/>
  <c r="B42" i="6"/>
  <c r="B38" i="6"/>
  <c r="B34" i="6"/>
  <c r="B30" i="6"/>
  <c r="B26" i="6"/>
  <c r="B21" i="6"/>
  <c r="B20" i="6"/>
  <c r="B41" i="6"/>
  <c r="B37" i="6"/>
  <c r="B33" i="6"/>
  <c r="B29" i="6"/>
  <c r="B40" i="6"/>
  <c r="B36" i="6"/>
  <c r="B32" i="6"/>
  <c r="B28" i="6"/>
  <c r="B39" i="6"/>
  <c r="B35" i="6"/>
  <c r="B31" i="6"/>
  <c r="B27" i="6"/>
  <c r="B22" i="6"/>
  <c r="I69" i="6"/>
  <c r="K37" i="6"/>
  <c r="K38" i="6"/>
  <c r="K40" i="6"/>
  <c r="K41" i="6"/>
  <c r="K42" i="6"/>
  <c r="K43" i="6"/>
  <c r="K44" i="6"/>
  <c r="K45" i="6"/>
  <c r="K46" i="6"/>
  <c r="K47" i="6"/>
  <c r="K48" i="6"/>
  <c r="K49" i="6"/>
  <c r="K50" i="6"/>
  <c r="K51" i="6"/>
  <c r="K52" i="6"/>
  <c r="K53" i="6"/>
  <c r="K54" i="6"/>
  <c r="K55" i="6"/>
  <c r="K56" i="6"/>
  <c r="K58" i="6"/>
  <c r="K59" i="6"/>
  <c r="K60" i="6"/>
  <c r="K61" i="6"/>
  <c r="K62" i="6"/>
  <c r="K63" i="6"/>
  <c r="K64" i="6"/>
  <c r="K65" i="6"/>
  <c r="K66" i="6"/>
  <c r="K67" i="6"/>
  <c r="K68" i="6"/>
  <c r="J69" i="6" l="1"/>
  <c r="K16" i="6" s="1"/>
  <c r="K14" i="6" l="1"/>
  <c r="J14" i="6" s="1"/>
  <c r="K22" i="6" l="1"/>
  <c r="K24" i="6" s="1"/>
  <c r="K25" i="6" s="1"/>
  <c r="K26" i="6" s="1"/>
  <c r="K27" i="6" s="1"/>
  <c r="K28" i="6" s="1"/>
  <c r="K29" i="6" s="1"/>
  <c r="K30" i="6" s="1"/>
  <c r="K31" i="6" s="1"/>
  <c r="K32" i="6" s="1"/>
  <c r="K33" i="6" s="1"/>
  <c r="K34" i="6" s="1"/>
  <c r="K35" i="6" s="1"/>
  <c r="K36" i="6" s="1"/>
  <c r="A20" i="6" l="1"/>
  <c r="M56" i="12" l="1"/>
  <c r="M29" i="12"/>
  <c r="M34" i="12"/>
  <c r="M24" i="12"/>
  <c r="M54" i="12"/>
  <c r="M52" i="12"/>
  <c r="N16" i="12"/>
  <c r="O16" i="12" s="1"/>
  <c r="M44" i="12"/>
  <c r="M53" i="12"/>
  <c r="M47" i="12"/>
  <c r="M22" i="12"/>
  <c r="M59" i="12"/>
  <c r="M49" i="12"/>
  <c r="M19" i="12"/>
  <c r="M40" i="12"/>
  <c r="M48" i="12"/>
  <c r="M63" i="12"/>
  <c r="M57" i="12"/>
  <c r="M39" i="12"/>
  <c r="M61" i="12"/>
  <c r="M35" i="12"/>
  <c r="M33" i="12"/>
  <c r="M42" i="12"/>
  <c r="M62" i="12"/>
  <c r="M30" i="12"/>
  <c r="M28" i="12"/>
  <c r="M50" i="12"/>
  <c r="M37" i="12"/>
  <c r="M27" i="12"/>
  <c r="M25" i="12"/>
  <c r="M55" i="12"/>
  <c r="M32" i="12"/>
  <c r="M45" i="12"/>
  <c r="M36" i="12"/>
  <c r="M58" i="12"/>
  <c r="M41" i="12"/>
  <c r="O16" i="13"/>
  <c r="P16" i="13" s="1"/>
  <c r="M31" i="12"/>
  <c r="M46" i="12"/>
  <c r="M21" i="12"/>
  <c r="M51" i="12"/>
  <c r="M26" i="12"/>
  <c r="M17" i="12"/>
  <c r="M64" i="12"/>
  <c r="M23" i="12"/>
  <c r="M38" i="12"/>
  <c r="M60" i="12"/>
  <c r="M43" i="12"/>
  <c r="M18" i="12"/>
  <c r="M20" i="12"/>
  <c r="N28" i="12" l="1"/>
  <c r="O63" i="13"/>
  <c r="O25" i="13"/>
  <c r="O51" i="13"/>
  <c r="O47" i="13"/>
  <c r="O28" i="13"/>
  <c r="O31" i="13"/>
  <c r="O24" i="13"/>
  <c r="N20" i="12"/>
  <c r="N23" i="12"/>
  <c r="N26" i="12"/>
  <c r="N41" i="12"/>
  <c r="N62" i="12"/>
  <c r="N63" i="12"/>
  <c r="N47" i="12"/>
  <c r="N54" i="12"/>
  <c r="N64" i="12"/>
  <c r="O64" i="12" s="1"/>
  <c r="N51" i="12"/>
  <c r="N58" i="12"/>
  <c r="N21" i="12"/>
  <c r="N25" i="12"/>
  <c r="N53" i="12"/>
  <c r="N45" i="12"/>
  <c r="N27" i="12"/>
  <c r="N33" i="12"/>
  <c r="N19" i="12"/>
  <c r="N34" i="12"/>
  <c r="N59" i="12"/>
  <c r="N18" i="12"/>
  <c r="N32" i="12"/>
  <c r="N37" i="12"/>
  <c r="N35" i="12"/>
  <c r="N56" i="12"/>
  <c r="N43" i="12"/>
  <c r="N55" i="12"/>
  <c r="N60" i="12"/>
  <c r="O20" i="13"/>
  <c r="N39" i="12"/>
  <c r="O26" i="13"/>
  <c r="O30" i="13"/>
  <c r="O38" i="13"/>
  <c r="O64" i="13"/>
  <c r="P64" i="13" s="1"/>
  <c r="O34" i="13"/>
  <c r="O59" i="13"/>
  <c r="O57" i="13"/>
  <c r="O18" i="13"/>
  <c r="O32" i="13"/>
  <c r="O44" i="13"/>
  <c r="O46" i="13"/>
  <c r="O37" i="13"/>
  <c r="O17" i="13"/>
  <c r="O43" i="13"/>
  <c r="O22" i="13"/>
  <c r="O35" i="13"/>
  <c r="N44" i="12"/>
  <c r="O52" i="13"/>
  <c r="O56" i="13"/>
  <c r="O54" i="13"/>
  <c r="O42" i="13"/>
  <c r="N38" i="12"/>
  <c r="N17" i="12"/>
  <c r="O58" i="13"/>
  <c r="O49" i="13"/>
  <c r="N30" i="12"/>
  <c r="N57" i="12"/>
  <c r="N22" i="12"/>
  <c r="N52" i="12"/>
  <c r="O40" i="13"/>
  <c r="O36" i="13"/>
  <c r="N42" i="12"/>
  <c r="N48" i="12"/>
  <c r="N24" i="12"/>
  <c r="O62" i="13"/>
  <c r="O33" i="13"/>
  <c r="O29" i="13"/>
  <c r="O60" i="13"/>
  <c r="N36" i="12"/>
  <c r="N40" i="12"/>
  <c r="O55" i="13"/>
  <c r="O61" i="13"/>
  <c r="N46" i="12"/>
  <c r="O48" i="13"/>
  <c r="N31" i="12"/>
  <c r="O39" i="13"/>
  <c r="O27" i="13"/>
  <c r="N50" i="12"/>
  <c r="N61" i="12"/>
  <c r="N49" i="12"/>
  <c r="O53" i="13"/>
  <c r="O45" i="13"/>
  <c r="N29" i="12"/>
  <c r="O23" i="13"/>
  <c r="O21" i="13"/>
  <c r="O19" i="13"/>
  <c r="O41" i="13"/>
  <c r="O50" i="13"/>
  <c r="P63" i="13" l="1"/>
  <c r="O59" i="12"/>
  <c r="O53" i="12"/>
  <c r="O57" i="12"/>
  <c r="O55" i="12"/>
  <c r="O63" i="12"/>
  <c r="O58" i="12"/>
  <c r="O50" i="12"/>
  <c r="O60" i="12"/>
  <c r="O61" i="12"/>
  <c r="O62" i="12"/>
  <c r="P62" i="13"/>
  <c r="P59" i="13"/>
  <c r="P60" i="13"/>
  <c r="P61" i="13"/>
  <c r="O52" i="12"/>
  <c r="O54" i="12"/>
  <c r="O56" i="12"/>
  <c r="O32" i="12"/>
  <c r="O18" i="12"/>
  <c r="O51" i="12"/>
  <c r="P54" i="13"/>
  <c r="O34" i="12"/>
  <c r="O35" i="12"/>
  <c r="O48" i="12"/>
  <c r="O39" i="12"/>
  <c r="O42" i="12"/>
  <c r="P56" i="13"/>
  <c r="P51" i="13"/>
  <c r="O36" i="12"/>
  <c r="O43" i="12"/>
  <c r="O38" i="12"/>
  <c r="P55" i="13"/>
  <c r="O45" i="12"/>
  <c r="O30" i="12"/>
  <c r="O40" i="12"/>
  <c r="O37" i="12"/>
  <c r="P57" i="13"/>
  <c r="P58" i="13"/>
  <c r="O22" i="12"/>
  <c r="O31" i="12"/>
  <c r="O47" i="12"/>
  <c r="P52" i="13"/>
  <c r="O41" i="12"/>
  <c r="P53" i="13"/>
  <c r="O44" i="12"/>
  <c r="O49" i="12"/>
  <c r="O27" i="12"/>
  <c r="O46" i="12"/>
  <c r="O33" i="12"/>
  <c r="O29" i="12"/>
  <c r="O21" i="12"/>
  <c r="O23" i="12"/>
  <c r="O20" i="12"/>
  <c r="O26" i="12"/>
  <c r="O17" i="12"/>
  <c r="O28" i="12"/>
  <c r="O19" i="12"/>
  <c r="O24" i="12"/>
  <c r="O25" i="12"/>
  <c r="P21" i="13"/>
  <c r="P41" i="13"/>
  <c r="P31" i="13"/>
  <c r="P39" i="13"/>
  <c r="P24" i="13"/>
  <c r="P37" i="13"/>
  <c r="P20" i="13"/>
  <c r="P43" i="13"/>
  <c r="P22" i="13"/>
  <c r="P18" i="13"/>
  <c r="P19" i="13"/>
  <c r="P50" i="13"/>
  <c r="P44" i="13"/>
  <c r="P35" i="13"/>
  <c r="P28" i="13"/>
  <c r="P47" i="13"/>
  <c r="P17" i="13"/>
  <c r="P32" i="13"/>
  <c r="P27" i="13"/>
  <c r="P25" i="13"/>
  <c r="P26" i="13"/>
  <c r="P36" i="13"/>
  <c r="P42" i="13"/>
  <c r="P45" i="13"/>
  <c r="P34" i="13"/>
  <c r="P23" i="13"/>
  <c r="P38" i="13"/>
  <c r="P29" i="13"/>
  <c r="P33" i="13"/>
  <c r="P49" i="13"/>
  <c r="P46" i="13"/>
  <c r="P40" i="13"/>
  <c r="P48" i="13"/>
  <c r="P30" i="13"/>
  <c r="P53" i="12" l="1"/>
  <c r="Q53" i="12" s="1"/>
  <c r="R53" i="12" s="1"/>
  <c r="P19" i="12"/>
  <c r="Q19" i="12" s="1"/>
  <c r="R19" i="12" s="1"/>
  <c r="E19" i="12" s="1"/>
  <c r="H19" i="12" s="1"/>
  <c r="P51" i="12"/>
  <c r="Q51" i="12" s="1"/>
  <c r="R51" i="12" s="1"/>
  <c r="P27" i="12"/>
  <c r="Q27" i="12" s="1"/>
  <c r="R27" i="12" s="1"/>
  <c r="E27" i="12" s="1"/>
  <c r="H27" i="12" s="1"/>
  <c r="P16" i="12"/>
  <c r="Q16" i="12" s="1"/>
  <c r="R16" i="12" s="1"/>
  <c r="E16" i="12" s="1"/>
  <c r="H16" i="12" s="1"/>
  <c r="P34" i="12"/>
  <c r="Q34" i="12" s="1"/>
  <c r="R34" i="12" s="1"/>
  <c r="P48" i="12"/>
  <c r="Q48" i="12" s="1"/>
  <c r="R48" i="12" s="1"/>
  <c r="P40" i="12"/>
  <c r="Q40" i="12" s="1"/>
  <c r="R40" i="12" s="1"/>
  <c r="P59" i="12"/>
  <c r="Q59" i="12" s="1"/>
  <c r="R59" i="12" s="1"/>
  <c r="P33" i="12"/>
  <c r="Q33" i="12" s="1"/>
  <c r="R33" i="12" s="1"/>
  <c r="P25" i="12"/>
  <c r="Q25" i="12" s="1"/>
  <c r="R25" i="12" s="1"/>
  <c r="E25" i="12" s="1"/>
  <c r="H25" i="12" s="1"/>
  <c r="P26" i="12"/>
  <c r="Q26" i="12" s="1"/>
  <c r="R26" i="12" s="1"/>
  <c r="E26" i="12" s="1"/>
  <c r="H26" i="12" s="1"/>
  <c r="P54" i="12"/>
  <c r="Q54" i="12" s="1"/>
  <c r="R54" i="12" s="1"/>
  <c r="P35" i="12"/>
  <c r="Q35" i="12" s="1"/>
  <c r="R35" i="12" s="1"/>
  <c r="P38" i="12"/>
  <c r="Q38" i="12" s="1"/>
  <c r="R38" i="12" s="1"/>
  <c r="P30" i="12"/>
  <c r="Q30" i="12" s="1"/>
  <c r="R30" i="12" s="1"/>
  <c r="E30" i="12" s="1"/>
  <c r="H30" i="12" s="1"/>
  <c r="P50" i="12"/>
  <c r="Q50" i="12" s="1"/>
  <c r="R50" i="12" s="1"/>
  <c r="P45" i="12"/>
  <c r="Q45" i="12" s="1"/>
  <c r="R45" i="12" s="1"/>
  <c r="P64" i="12"/>
  <c r="Q64" i="12" s="1"/>
  <c r="R64" i="12" s="1"/>
  <c r="P17" i="12"/>
  <c r="Q17" i="12" s="1"/>
  <c r="R17" i="12" s="1"/>
  <c r="E17" i="12" s="1"/>
  <c r="H17" i="12" s="1"/>
  <c r="P31" i="12"/>
  <c r="Q31" i="12" s="1"/>
  <c r="R31" i="12" s="1"/>
  <c r="E31" i="12" s="1"/>
  <c r="H31" i="12" s="1"/>
  <c r="P56" i="12"/>
  <c r="Q56" i="12" s="1"/>
  <c r="R56" i="12" s="1"/>
  <c r="P29" i="12"/>
  <c r="Q29" i="12" s="1"/>
  <c r="R29" i="12" s="1"/>
  <c r="E29" i="12" s="1"/>
  <c r="H29" i="12" s="1"/>
  <c r="P21" i="12"/>
  <c r="Q21" i="12" s="1"/>
  <c r="R21" i="12" s="1"/>
  <c r="E21" i="12" s="1"/>
  <c r="H21" i="12" s="1"/>
  <c r="P41" i="12"/>
  <c r="Q41" i="12" s="1"/>
  <c r="R41" i="12" s="1"/>
  <c r="P58" i="12"/>
  <c r="Q58" i="12" s="1"/>
  <c r="R58" i="12" s="1"/>
  <c r="P18" i="12"/>
  <c r="Q18" i="12" s="1"/>
  <c r="R18" i="12" s="1"/>
  <c r="E18" i="12" s="1"/>
  <c r="H18" i="12" s="1"/>
  <c r="P42" i="12"/>
  <c r="Q42" i="12" s="1"/>
  <c r="R42" i="12" s="1"/>
  <c r="P36" i="12"/>
  <c r="Q36" i="12" s="1"/>
  <c r="R36" i="12" s="1"/>
  <c r="P46" i="12"/>
  <c r="Q46" i="12" s="1"/>
  <c r="R46" i="12" s="1"/>
  <c r="P20" i="12"/>
  <c r="Q20" i="12" s="1"/>
  <c r="R20" i="12" s="1"/>
  <c r="E20" i="12" s="1"/>
  <c r="H20" i="12" s="1"/>
  <c r="P55" i="12"/>
  <c r="Q55" i="12" s="1"/>
  <c r="R55" i="12" s="1"/>
  <c r="P24" i="12"/>
  <c r="Q24" i="12" s="1"/>
  <c r="R24" i="12" s="1"/>
  <c r="E24" i="12" s="1"/>
  <c r="H24" i="12" s="1"/>
  <c r="P23" i="12"/>
  <c r="Q23" i="12" s="1"/>
  <c r="R23" i="12" s="1"/>
  <c r="E23" i="12" s="1"/>
  <c r="H23" i="12" s="1"/>
  <c r="P47" i="12"/>
  <c r="Q47" i="12" s="1"/>
  <c r="R47" i="12" s="1"/>
  <c r="P37" i="12"/>
  <c r="Q37" i="12" s="1"/>
  <c r="R37" i="12" s="1"/>
  <c r="P63" i="12"/>
  <c r="Q63" i="12" s="1"/>
  <c r="R63" i="12" s="1"/>
  <c r="P49" i="12"/>
  <c r="Q49" i="12" s="1"/>
  <c r="R49" i="12" s="1"/>
  <c r="P39" i="12"/>
  <c r="Q39" i="12" s="1"/>
  <c r="R39" i="12" s="1"/>
  <c r="P61" i="12"/>
  <c r="Q61" i="12" s="1"/>
  <c r="R61" i="12" s="1"/>
  <c r="P62" i="12"/>
  <c r="Q62" i="12" s="1"/>
  <c r="R62" i="12" s="1"/>
  <c r="P22" i="12"/>
  <c r="Q22" i="12" s="1"/>
  <c r="R22" i="12" s="1"/>
  <c r="E22" i="12" s="1"/>
  <c r="H22" i="12" s="1"/>
  <c r="P43" i="12"/>
  <c r="Q43" i="12" s="1"/>
  <c r="R43" i="12" s="1"/>
  <c r="P44" i="12"/>
  <c r="Q44" i="12" s="1"/>
  <c r="R44" i="12" s="1"/>
  <c r="P28" i="12"/>
  <c r="Q28" i="12" s="1"/>
  <c r="R28" i="12" s="1"/>
  <c r="E28" i="12" s="1"/>
  <c r="H28" i="12" s="1"/>
  <c r="P57" i="12"/>
  <c r="Q57" i="12" s="1"/>
  <c r="R57" i="12" s="1"/>
  <c r="P32" i="12"/>
  <c r="Q32" i="12" s="1"/>
  <c r="R32" i="12" s="1"/>
  <c r="P60" i="12"/>
  <c r="Q60" i="12" s="1"/>
  <c r="R60" i="12" s="1"/>
  <c r="P52" i="12"/>
  <c r="Q52" i="12" s="1"/>
  <c r="R52" i="12" s="1"/>
  <c r="Q41" i="13"/>
  <c r="R41" i="13" s="1"/>
  <c r="Q49" i="13"/>
  <c r="R49" i="13" s="1"/>
  <c r="Q31" i="13"/>
  <c r="R31" i="13" s="1"/>
  <c r="S31" i="13" s="1"/>
  <c r="Q54" i="13"/>
  <c r="R54" i="13" s="1"/>
  <c r="Q55" i="13"/>
  <c r="R55" i="13" s="1"/>
  <c r="S55" i="13" s="1"/>
  <c r="Q22" i="13"/>
  <c r="R22" i="13" s="1"/>
  <c r="S22" i="13" s="1"/>
  <c r="Q56" i="13"/>
  <c r="R56" i="13" s="1"/>
  <c r="S56" i="13" s="1"/>
  <c r="Q34" i="13"/>
  <c r="R34" i="13" s="1"/>
  <c r="Q19" i="13"/>
  <c r="R19" i="13" s="1"/>
  <c r="T19" i="13" s="1"/>
  <c r="B19" i="13" s="1"/>
  <c r="Q61" i="13"/>
  <c r="R61" i="13" s="1"/>
  <c r="Q53" i="13"/>
  <c r="R53" i="13" s="1"/>
  <c r="Q33" i="13"/>
  <c r="R33" i="13" s="1"/>
  <c r="Q38" i="13"/>
  <c r="R38" i="13" s="1"/>
  <c r="Q36" i="13"/>
  <c r="R36" i="13" s="1"/>
  <c r="Q35" i="13"/>
  <c r="R35" i="13" s="1"/>
  <c r="Q44" i="13"/>
  <c r="R44" i="13" s="1"/>
  <c r="Q60" i="13"/>
  <c r="R60" i="13" s="1"/>
  <c r="S60" i="13" s="1"/>
  <c r="Q21" i="13"/>
  <c r="R21" i="13" s="1"/>
  <c r="S21" i="13" s="1"/>
  <c r="Q62" i="13"/>
  <c r="R62" i="13" s="1"/>
  <c r="Q30" i="13"/>
  <c r="R30" i="13" s="1"/>
  <c r="S30" i="13" s="1"/>
  <c r="Q52" i="13"/>
  <c r="R52" i="13" s="1"/>
  <c r="Q42" i="13"/>
  <c r="R42" i="13" s="1"/>
  <c r="Q28" i="13"/>
  <c r="R28" i="13" s="1"/>
  <c r="S28" i="13" s="1"/>
  <c r="Q32" i="13"/>
  <c r="R32" i="13" s="1"/>
  <c r="Q27" i="13"/>
  <c r="R27" i="13" s="1"/>
  <c r="Q64" i="13"/>
  <c r="R64" i="13" s="1"/>
  <c r="S64" i="13" s="1"/>
  <c r="Q16" i="13"/>
  <c r="R16" i="13" s="1"/>
  <c r="A16" i="13" s="1"/>
  <c r="Q43" i="13"/>
  <c r="R43" i="13" s="1"/>
  <c r="Q45" i="13"/>
  <c r="R45" i="13" s="1"/>
  <c r="S45" i="13" s="1"/>
  <c r="Q20" i="13"/>
  <c r="R20" i="13" s="1"/>
  <c r="S20" i="13" s="1"/>
  <c r="Q17" i="13"/>
  <c r="R17" i="13" s="1"/>
  <c r="S17" i="13" s="1"/>
  <c r="Q57" i="13"/>
  <c r="R57" i="13" s="1"/>
  <c r="Q50" i="13"/>
  <c r="R50" i="13" s="1"/>
  <c r="S50" i="13" s="1"/>
  <c r="Q59" i="13"/>
  <c r="R59" i="13" s="1"/>
  <c r="S59" i="13" s="1"/>
  <c r="Q25" i="13"/>
  <c r="R25" i="13" s="1"/>
  <c r="Q63" i="13"/>
  <c r="R63" i="13" s="1"/>
  <c r="Q46" i="13"/>
  <c r="R46" i="13" s="1"/>
  <c r="Q24" i="13"/>
  <c r="R24" i="13" s="1"/>
  <c r="Q58" i="13"/>
  <c r="R58" i="13" s="1"/>
  <c r="Q29" i="13"/>
  <c r="R29" i="13" s="1"/>
  <c r="S29" i="13" s="1"/>
  <c r="Q23" i="13"/>
  <c r="R23" i="13" s="1"/>
  <c r="S23" i="13" s="1"/>
  <c r="Q26" i="13"/>
  <c r="R26" i="13" s="1"/>
  <c r="S26" i="13" s="1"/>
  <c r="Q39" i="13"/>
  <c r="R39" i="13" s="1"/>
  <c r="Q51" i="13"/>
  <c r="R51" i="13" s="1"/>
  <c r="Q37" i="13"/>
  <c r="R37" i="13" s="1"/>
  <c r="S37" i="13" s="1"/>
  <c r="Q18" i="13"/>
  <c r="R18" i="13" s="1"/>
  <c r="S18" i="13" s="1"/>
  <c r="Q47" i="13"/>
  <c r="R47" i="13" s="1"/>
  <c r="Q40" i="13"/>
  <c r="R40" i="13" s="1"/>
  <c r="S40" i="13" s="1"/>
  <c r="Q48" i="13"/>
  <c r="R48" i="13" s="1"/>
  <c r="S48" i="13" s="1"/>
  <c r="S53" i="12"/>
  <c r="S41" i="12"/>
  <c r="S17" i="12"/>
  <c r="B17" i="12" s="1"/>
  <c r="S52" i="12" l="1"/>
  <c r="S62" i="12"/>
  <c r="A24" i="12"/>
  <c r="S24" i="12"/>
  <c r="B24" i="12" s="1"/>
  <c r="S50" i="12"/>
  <c r="S59" i="12"/>
  <c r="T42" i="13"/>
  <c r="S42" i="13"/>
  <c r="T46" i="13"/>
  <c r="S46" i="13"/>
  <c r="T52" i="13"/>
  <c r="S52" i="13"/>
  <c r="T38" i="13"/>
  <c r="S38" i="13"/>
  <c r="T58" i="13"/>
  <c r="S58" i="13"/>
  <c r="T62" i="13"/>
  <c r="S62" i="13"/>
  <c r="T47" i="13"/>
  <c r="S47" i="13"/>
  <c r="T35" i="13"/>
  <c r="S35" i="13"/>
  <c r="T51" i="13"/>
  <c r="S51" i="13"/>
  <c r="T43" i="13"/>
  <c r="S43" i="13"/>
  <c r="T33" i="13"/>
  <c r="S33" i="13"/>
  <c r="A25" i="13"/>
  <c r="S25" i="13"/>
  <c r="E25" i="13" s="1"/>
  <c r="T53" i="13"/>
  <c r="S53" i="13"/>
  <c r="T49" i="13"/>
  <c r="S49" i="13"/>
  <c r="S27" i="13"/>
  <c r="E27" i="13" s="1"/>
  <c r="A19" i="13"/>
  <c r="S19" i="13"/>
  <c r="E19" i="13" s="1"/>
  <c r="T41" i="13"/>
  <c r="S41" i="13"/>
  <c r="A24" i="13"/>
  <c r="S24" i="13"/>
  <c r="E24" i="13" s="1"/>
  <c r="T36" i="13"/>
  <c r="S36" i="13"/>
  <c r="T63" i="13"/>
  <c r="S63" i="13"/>
  <c r="T54" i="13"/>
  <c r="S54" i="13"/>
  <c r="T39" i="13"/>
  <c r="S39" i="13"/>
  <c r="T61" i="13"/>
  <c r="S61" i="13"/>
  <c r="T57" i="13"/>
  <c r="S57" i="13"/>
  <c r="T32" i="13"/>
  <c r="S32" i="13"/>
  <c r="T44" i="13"/>
  <c r="S44" i="13"/>
  <c r="T34" i="13"/>
  <c r="S34" i="13"/>
  <c r="S27" i="12"/>
  <c r="B27" i="12" s="1"/>
  <c r="S19" i="12"/>
  <c r="B19" i="12" s="1"/>
  <c r="T60" i="13"/>
  <c r="T59" i="13"/>
  <c r="T17" i="13"/>
  <c r="B17" i="13" s="1"/>
  <c r="A17" i="13"/>
  <c r="T30" i="13"/>
  <c r="B30" i="13" s="1"/>
  <c r="A30" i="13"/>
  <c r="E31" i="13"/>
  <c r="A31" i="13"/>
  <c r="A38" i="13" s="1"/>
  <c r="T28" i="13"/>
  <c r="B28" i="13" s="1"/>
  <c r="A28" i="13"/>
  <c r="A37" i="13" s="1"/>
  <c r="E22" i="13"/>
  <c r="A22" i="13"/>
  <c r="T26" i="13"/>
  <c r="B26" i="13" s="1"/>
  <c r="A26" i="13"/>
  <c r="T23" i="13"/>
  <c r="B23" i="13" s="1"/>
  <c r="A23" i="13"/>
  <c r="T27" i="13"/>
  <c r="B27" i="13" s="1"/>
  <c r="A27" i="13"/>
  <c r="T18" i="13"/>
  <c r="B18" i="13" s="1"/>
  <c r="A18" i="13"/>
  <c r="T20" i="13"/>
  <c r="B20" i="13" s="1"/>
  <c r="A20" i="13"/>
  <c r="T21" i="13"/>
  <c r="B21" i="13" s="1"/>
  <c r="A21" i="13"/>
  <c r="E29" i="13"/>
  <c r="A29" i="13"/>
  <c r="A22" i="12"/>
  <c r="S45" i="12"/>
  <c r="S16" i="13"/>
  <c r="E16" i="13" s="1"/>
  <c r="T50" i="13"/>
  <c r="S33" i="12"/>
  <c r="A19" i="12"/>
  <c r="S22" i="12"/>
  <c r="B22" i="12" s="1"/>
  <c r="S58" i="12"/>
  <c r="S23" i="12"/>
  <c r="B23" i="12" s="1"/>
  <c r="A23" i="12"/>
  <c r="E21" i="13"/>
  <c r="A31" i="12"/>
  <c r="A38" i="12" s="1"/>
  <c r="S36" i="12"/>
  <c r="S57" i="12"/>
  <c r="S54" i="12"/>
  <c r="A16" i="12"/>
  <c r="S31" i="12"/>
  <c r="B31" i="12" s="1"/>
  <c r="T55" i="13"/>
  <c r="S16" i="12"/>
  <c r="B16" i="12" s="1"/>
  <c r="S63" i="12"/>
  <c r="S20" i="12"/>
  <c r="B20" i="12" s="1"/>
  <c r="A20" i="12"/>
  <c r="S32" i="12"/>
  <c r="T22" i="13"/>
  <c r="B22" i="13" s="1"/>
  <c r="S48" i="12"/>
  <c r="S38" i="12"/>
  <c r="S29" i="12"/>
  <c r="B29" i="12" s="1"/>
  <c r="A29" i="12"/>
  <c r="S49" i="12"/>
  <c r="S55" i="12"/>
  <c r="S39" i="12"/>
  <c r="T37" i="13"/>
  <c r="S35" i="12"/>
  <c r="T45" i="13"/>
  <c r="S34" i="12"/>
  <c r="S56" i="12"/>
  <c r="S28" i="12"/>
  <c r="B28" i="12" s="1"/>
  <c r="A28" i="12"/>
  <c r="A37" i="12" s="1"/>
  <c r="S46" i="12"/>
  <c r="E30" i="13"/>
  <c r="T24" i="13"/>
  <c r="B24" i="13" s="1"/>
  <c r="S21" i="12"/>
  <c r="B21" i="12" s="1"/>
  <c r="A21" i="12"/>
  <c r="S40" i="12"/>
  <c r="S30" i="12"/>
  <c r="B30" i="12" s="1"/>
  <c r="S60" i="12"/>
  <c r="S61" i="12"/>
  <c r="A30" i="12"/>
  <c r="A26" i="12"/>
  <c r="S51" i="12"/>
  <c r="A18" i="12"/>
  <c r="T31" i="13"/>
  <c r="B31" i="13" s="1"/>
  <c r="T64" i="13"/>
  <c r="S25" i="12"/>
  <c r="B25" i="12" s="1"/>
  <c r="S37" i="12"/>
  <c r="T16" i="13"/>
  <c r="B16" i="13" s="1"/>
  <c r="E26" i="13"/>
  <c r="A25" i="12"/>
  <c r="S47" i="12"/>
  <c r="A17" i="12"/>
  <c r="S42" i="12"/>
  <c r="S44" i="12"/>
  <c r="A27" i="12"/>
  <c r="S64" i="12"/>
  <c r="S26" i="12"/>
  <c r="B26" i="12" s="1"/>
  <c r="S43" i="12"/>
  <c r="S18" i="12"/>
  <c r="B18" i="12" s="1"/>
  <c r="T25" i="13"/>
  <c r="B25" i="13" s="1"/>
  <c r="E18" i="13"/>
  <c r="E23" i="13"/>
  <c r="T48" i="13"/>
  <c r="T29" i="13"/>
  <c r="B29" i="13" s="1"/>
  <c r="T56" i="13"/>
  <c r="T40" i="13"/>
  <c r="E20" i="13"/>
  <c r="E17" i="13"/>
  <c r="E28" i="13"/>
  <c r="I19" i="13" l="1"/>
  <c r="G19" i="13"/>
  <c r="I27" i="13"/>
  <c r="G27" i="13"/>
  <c r="I25" i="13"/>
  <c r="G25" i="13"/>
  <c r="I31" i="13"/>
  <c r="G31" i="13"/>
  <c r="I21" i="13"/>
  <c r="G21" i="13"/>
  <c r="I16" i="13"/>
  <c r="G16" i="13"/>
  <c r="I22" i="13"/>
  <c r="G22" i="13"/>
  <c r="I24" i="13"/>
  <c r="G24" i="13"/>
  <c r="I26" i="13"/>
  <c r="G26" i="13"/>
  <c r="I28" i="13"/>
  <c r="G28" i="13"/>
  <c r="I23" i="13"/>
  <c r="G23" i="13"/>
  <c r="I30" i="13"/>
  <c r="G30" i="13"/>
  <c r="I17" i="13"/>
  <c r="G17" i="13"/>
  <c r="I18" i="13"/>
  <c r="G18" i="13"/>
  <c r="I29" i="13"/>
  <c r="G29" i="13"/>
  <c r="I20" i="13"/>
  <c r="G20" i="13"/>
  <c r="A32" i="13"/>
  <c r="B32" i="13" s="1"/>
  <c r="A32" i="12"/>
  <c r="B32" i="12" s="1"/>
</calcChain>
</file>

<file path=xl/comments1.xml><?xml version="1.0" encoding="utf-8"?>
<comments xmlns="http://schemas.openxmlformats.org/spreadsheetml/2006/main">
  <authors>
    <author>silvia</author>
  </authors>
  <commentList>
    <comment ref="A92" authorId="0" shapeId="0">
      <text>
        <r>
          <rPr>
            <b/>
            <sz val="9"/>
            <color indexed="81"/>
            <rFont val="Segoe UI"/>
            <family val="2"/>
          </rPr>
          <t>Silvia Stafast:</t>
        </r>
        <r>
          <rPr>
            <sz val="9"/>
            <color indexed="81"/>
            <rFont val="Segoe UI"/>
            <family val="2"/>
          </rPr>
          <t xml:space="preserve">
PNC = Portal Next Cloud</t>
        </r>
      </text>
    </comment>
    <comment ref="A97" authorId="0" shapeId="0">
      <text>
        <r>
          <rPr>
            <b/>
            <sz val="9"/>
            <color indexed="81"/>
            <rFont val="Segoe UI"/>
            <family val="2"/>
          </rPr>
          <t>Silvia Stafast:</t>
        </r>
        <r>
          <rPr>
            <sz val="9"/>
            <color indexed="81"/>
            <rFont val="Segoe UI"/>
            <family val="2"/>
          </rPr>
          <t xml:space="preserve">
PNC = Portal Next Cloud</t>
        </r>
      </text>
    </comment>
  </commentList>
</comments>
</file>

<file path=xl/comments2.xml><?xml version="1.0" encoding="utf-8"?>
<comments xmlns="http://schemas.openxmlformats.org/spreadsheetml/2006/main">
  <authors>
    <author>Stafast, Silvia</author>
    <author>Silvia Stafast</author>
  </authors>
  <commentList>
    <comment ref="A1" authorId="0" shapeId="0">
      <text>
        <r>
          <rPr>
            <b/>
            <sz val="9"/>
            <color indexed="81"/>
            <rFont val="Segoe UI"/>
            <family val="2"/>
          </rPr>
          <t>Stafast, Silvia:</t>
        </r>
        <r>
          <rPr>
            <sz val="9"/>
            <color indexed="81"/>
            <rFont val="Segoe UI"/>
            <family val="2"/>
          </rPr>
          <t xml:space="preserve">
Formatierung für SVERWEIS prüfen - muss "codigo postal" sein!!!!!</t>
        </r>
      </text>
    </comment>
    <comment ref="C59" authorId="1" shapeId="0">
      <text>
        <r>
          <rPr>
            <b/>
            <sz val="9"/>
            <color indexed="81"/>
            <rFont val="Segoe UI"/>
            <family val="2"/>
          </rPr>
          <t>Silvia Stafast:</t>
        </r>
        <r>
          <rPr>
            <sz val="9"/>
            <color indexed="81"/>
            <rFont val="Segoe UI"/>
            <family val="2"/>
          </rPr>
          <t xml:space="preserve">
Vorsicht - abweichende Formel!</t>
        </r>
      </text>
    </comment>
    <comment ref="A129" authorId="1" shapeId="0">
      <text>
        <r>
          <rPr>
            <b/>
            <sz val="9"/>
            <color indexed="81"/>
            <rFont val="Segoe UI"/>
            <family val="2"/>
          </rPr>
          <t>Silvia Stafast:</t>
        </r>
        <r>
          <rPr>
            <sz val="9"/>
            <color indexed="81"/>
            <rFont val="Segoe UI"/>
            <family val="2"/>
          </rPr>
          <t xml:space="preserve">
Spezialfall:
KGM wurde auf Wunsch von H. Stadtmüller (Mail vom 03.08.2018) mehrmals angelegt, da es mehrere Konten für die Kollektenkasse gibt.
Erweiterte RT-Nr. gilt nur für die Buchungsblätter der Kollekten!!</t>
        </r>
      </text>
    </comment>
    <comment ref="A131" authorId="1" shapeId="0">
      <text>
        <r>
          <rPr>
            <b/>
            <sz val="9"/>
            <color indexed="81"/>
            <rFont val="Segoe UI"/>
            <family val="2"/>
          </rPr>
          <t>Silvia Stafast:</t>
        </r>
        <r>
          <rPr>
            <sz val="9"/>
            <color indexed="81"/>
            <rFont val="Segoe UI"/>
            <family val="2"/>
          </rPr>
          <t xml:space="preserve">
Spezialfall:
KGM wurde auf Wunsch von H. Stadtmüller (Mail vom 03.08.2018) mehrmals angelegt, da es mehrere Konten für die Kollektenkasse gibt.
Erweiterte RT-Nr. gilt nur für die Buchungsblätter der Kollekten!!</t>
        </r>
      </text>
    </comment>
    <comment ref="A133" authorId="1" shapeId="0">
      <text>
        <r>
          <rPr>
            <b/>
            <sz val="9"/>
            <color indexed="81"/>
            <rFont val="Segoe UI"/>
            <family val="2"/>
          </rPr>
          <t>Silvia Stafast:</t>
        </r>
        <r>
          <rPr>
            <sz val="9"/>
            <color indexed="81"/>
            <rFont val="Segoe UI"/>
            <family val="2"/>
          </rPr>
          <t xml:space="preserve">
Spezialfall:
KGM wurde auf Wunsch von H. Stadtmüller (Mail vom 03.08.2018) mehrmals angelegt, da es mehrere Konten für die Kollektenkasse gibt.
Erweiterte RT-Nr. gilt nur für die Buchungsblätter der Kollekten!!</t>
        </r>
      </text>
    </comment>
    <comment ref="C166" authorId="1" shapeId="0">
      <text>
        <r>
          <rPr>
            <b/>
            <sz val="9"/>
            <color indexed="81"/>
            <rFont val="Segoe UI"/>
            <family val="2"/>
          </rPr>
          <t>Silvia Stafast:</t>
        </r>
        <r>
          <rPr>
            <sz val="9"/>
            <color indexed="81"/>
            <rFont val="Segoe UI"/>
            <family val="2"/>
          </rPr>
          <t xml:space="preserve">
Vorsicht - abweichende Formel für den farblich markierten Bereich!</t>
        </r>
      </text>
    </comment>
  </commentList>
</comments>
</file>

<file path=xl/comments3.xml><?xml version="1.0" encoding="utf-8"?>
<comments xmlns="http://schemas.openxmlformats.org/spreadsheetml/2006/main">
  <authors>
    <author>Silvia Stafast</author>
  </authors>
  <commentList>
    <comment ref="O1" authorId="0" shapeId="0">
      <text>
        <r>
          <rPr>
            <b/>
            <sz val="9"/>
            <color indexed="81"/>
            <rFont val="Segoe UI"/>
            <family val="2"/>
          </rPr>
          <t>Silvia Stafast:</t>
        </r>
        <r>
          <rPr>
            <sz val="9"/>
            <color indexed="81"/>
            <rFont val="Segoe UI"/>
            <family val="2"/>
          </rPr>
          <t xml:space="preserve">
</t>
        </r>
        <r>
          <rPr>
            <b/>
            <sz val="9"/>
            <color indexed="81"/>
            <rFont val="Segoe UI"/>
            <family val="2"/>
          </rPr>
          <t>Formeln / Namens-Manager
Bereich für "Aufwand" bzw. "Ertrag" anpassen:</t>
        </r>
        <r>
          <rPr>
            <sz val="9"/>
            <color indexed="81"/>
            <rFont val="Segoe UI"/>
            <family val="2"/>
          </rPr>
          <t xml:space="preserve">
Aufwand
SaKoAufwand
SaKoAufwandBuchungsblatt
SaKoBereichAufwand</t>
        </r>
      </text>
    </comment>
  </commentList>
</comments>
</file>

<file path=xl/sharedStrings.xml><?xml version="1.0" encoding="utf-8"?>
<sst xmlns="http://schemas.openxmlformats.org/spreadsheetml/2006/main" count="696" uniqueCount="452">
  <si>
    <t>Betrag</t>
  </si>
  <si>
    <t>IBAN:</t>
  </si>
  <si>
    <t>Bankname:</t>
  </si>
  <si>
    <t>AObj.</t>
  </si>
  <si>
    <t>RV</t>
  </si>
  <si>
    <t>RT</t>
  </si>
  <si>
    <t>Version</t>
  </si>
  <si>
    <t>Datum</t>
  </si>
  <si>
    <t>Beschreibung der Änderung</t>
  </si>
  <si>
    <r>
      <rPr>
        <b/>
        <sz val="13"/>
        <rFont val="Calibri"/>
        <family val="2"/>
        <scheme val="minor"/>
      </rPr>
      <t>EVANGELISCHE KIRCHE</t>
    </r>
    <r>
      <rPr>
        <b/>
        <sz val="11"/>
        <rFont val="Calibri"/>
        <family val="2"/>
        <scheme val="minor"/>
      </rPr>
      <t xml:space="preserve">
</t>
    </r>
    <r>
      <rPr>
        <b/>
        <sz val="10"/>
        <rFont val="Calibri"/>
        <family val="2"/>
        <scheme val="minor"/>
      </rPr>
      <t>IN HESSEN UND NASSAU</t>
    </r>
  </si>
  <si>
    <t>Eingabe der Rechtsträger-Nr.
im rot hinterlegten Feld!</t>
  </si>
  <si>
    <t>Mandant</t>
  </si>
  <si>
    <t>Kirchengemeinde / Dekanat /RV</t>
  </si>
  <si>
    <t>Handkasse der</t>
  </si>
  <si>
    <t>Änderung des Abrufs der Mandanten-Nr. (Anpassung SVERWEIS)
Änderung der Datenbanken der Rechtsträger</t>
  </si>
  <si>
    <t>Ergänzung RT "Gesamtgemeinde Wiesbaden" in Datenbank RT</t>
  </si>
  <si>
    <t>1.5</t>
  </si>
  <si>
    <t>Formatierung der Felder Aobj und SaKo als Text</t>
  </si>
  <si>
    <t>1.6</t>
  </si>
  <si>
    <t>1.7</t>
  </si>
  <si>
    <t>Änderung des Passwortes zum Zellschutz</t>
  </si>
  <si>
    <t>Änderungen basierend auf den Ergebnissen des Workshops "Buchungsblätter" vom 20.07.2016:</t>
  </si>
  <si>
    <t>Veränderung Beschreibung der Handkasse im RT. z.B. "HK 3398 Gemeindebüro"
entsprechende Veränderung der DB "RT". Unterteilung in zwei Felder. Die erste
Zelle wird automatisch über einen SVERWEIS gefüllt, die zweite Zelle kann
überschrieben werden, da kein Zellenschutz.</t>
  </si>
  <si>
    <t>Ergänzung Anzahl der Zeilen = insgesamt 12
Korrektur Zahlenformat AObj (alle Blöcke) = Text
Anpassung der Spaltenbreiten für 100%ige Darstellung und Ausdruck
Bedingte Formatierung für Eingabe der RT-Nummer
Farbumstellung EKHN-Logo und Schriftzug auf s/w</t>
  </si>
  <si>
    <t>1.8</t>
  </si>
  <si>
    <t>1.9</t>
  </si>
  <si>
    <t>2.0</t>
  </si>
  <si>
    <t>Integration neue Datenbank RT V1.4</t>
  </si>
  <si>
    <t>Veränderung des Blattschutzes: Es dürfen nur noch "nicht gesperrte Zellen"
ausgewählt werden</t>
  </si>
  <si>
    <t>2.1</t>
  </si>
  <si>
    <t>Aufgrund der besprochenen Änderungen wurde für diese Version des Buchungsblatt Handkasse das "Buchungsblatt" in der Version 1.7
als Basis verwendet!</t>
  </si>
  <si>
    <t>Buchungsblatt Handkasse</t>
  </si>
  <si>
    <t>Name der Handkasse:</t>
  </si>
  <si>
    <t>Änderung "Buchungsblatt" in "Buchungsblatt Handkasse"</t>
  </si>
  <si>
    <t>Entfernung Zeile "Partnerkonto", "Anschrift", "BIC"</t>
  </si>
  <si>
    <t>Einfügen "Name der Handkasse" - wird automatisch anhand der RT-Nr. angezeigt, hierbei kann der Name geändert werden</t>
  </si>
  <si>
    <t>Einfügen von zwei weiteren Buchungszeilen</t>
  </si>
  <si>
    <t>Erweiterung "Name der Handkasse" - es wird in der DB RT das Feld "Handkasse der" angedruckt.
Dieses Feld kann vom Benutzer geändert werden.</t>
  </si>
  <si>
    <t xml:space="preserve">    Sonstige Zuschüsse von Kommunen</t>
  </si>
  <si>
    <t xml:space="preserve">    Nicht zweckgebundene Spenden</t>
  </si>
  <si>
    <t xml:space="preserve">    Übrige sonstige Personalaufwendungen</t>
  </si>
  <si>
    <t xml:space="preserve">    Verbrauchsmaterial im kirchlichen Bereich</t>
  </si>
  <si>
    <t xml:space="preserve">    Lebensmittel</t>
  </si>
  <si>
    <t xml:space="preserve">    Getränke</t>
  </si>
  <si>
    <t xml:space="preserve">    Geschäftsbedarf</t>
  </si>
  <si>
    <t xml:space="preserve">    Porto</t>
  </si>
  <si>
    <t xml:space="preserve">    Spiel- und Beschäftigungsmaterial</t>
  </si>
  <si>
    <t xml:space="preserve">    Reisekosten</t>
  </si>
  <si>
    <t xml:space="preserve">    Aufwendungen für ehrenamtliche Tätigkeit</t>
  </si>
  <si>
    <t xml:space="preserve">    Lehr- und Lernmittel</t>
  </si>
  <si>
    <t xml:space="preserve">    Unterbringungs- und Verpflegungskosten</t>
  </si>
  <si>
    <t xml:space="preserve">    Sonstige Aufwendungen für Aus- und Fortbildung</t>
  </si>
  <si>
    <t xml:space="preserve">    Verbrauchsmaterial</t>
  </si>
  <si>
    <t xml:space="preserve">    Sonstige Verwaltungs- und Betriebsaufwendungen</t>
  </si>
  <si>
    <t xml:space="preserve">    Instandhaltung  der Grundstücke und Außenanlagen</t>
  </si>
  <si>
    <t xml:space="preserve">    Instandhaltung der  Gebäude</t>
  </si>
  <si>
    <t xml:space="preserve">    Instandhaltung von Fahrzeugen</t>
  </si>
  <si>
    <t xml:space="preserve">    Sonstige Betriebs- und Nebenkosten</t>
  </si>
  <si>
    <t xml:space="preserve">    Bewirtungsaufwand</t>
  </si>
  <si>
    <t>Lfd-Nr.</t>
  </si>
  <si>
    <t>Ergänzung des Buchungsblattes durch die Auswahl von Buchungstexten und zugehörigen Sachkonten</t>
  </si>
  <si>
    <t>- Integration neue Datenbank Texte und Sachkonten = SaKo</t>
  </si>
  <si>
    <t>- Integration Formularsteuerelement "Kombinationsfeld"</t>
  </si>
  <si>
    <t>- Freie Eingabe von Text weiterhin möglich, dabei kann allerdings kein Sachkonto zugewiesen werden.</t>
  </si>
  <si>
    <t>- Spalte "D" und "G" eingefügt, die den Abruf des Kombinationsfeldes über SVERWEIS steuern.</t>
  </si>
  <si>
    <t>- Ausblenden der Spalten-/Zeilenköpfe</t>
  </si>
  <si>
    <t>- Ausblenden der Bearbeitungszeile</t>
  </si>
  <si>
    <t>- Ausblenden der Gitternetzlinien</t>
  </si>
  <si>
    <t>2.2</t>
  </si>
  <si>
    <t>Trennung der Erträge und Aufwendungen in zwei Register</t>
  </si>
  <si>
    <r>
      <t xml:space="preserve">Sachkonto
</t>
    </r>
    <r>
      <rPr>
        <b/>
        <sz val="10"/>
        <color rgb="FFFF0000"/>
        <rFont val="Calibri"/>
        <family val="2"/>
        <scheme val="minor"/>
      </rPr>
      <t>Aufwand</t>
    </r>
  </si>
  <si>
    <r>
      <t xml:space="preserve">Sachkonto
</t>
    </r>
    <r>
      <rPr>
        <b/>
        <sz val="10"/>
        <color rgb="FFFF0000"/>
        <rFont val="Calibri"/>
        <family val="2"/>
        <scheme val="minor"/>
      </rPr>
      <t>Ertrag</t>
    </r>
  </si>
  <si>
    <t>- Keine freie Eingabe von Text mehr möglich (Zuweisung Text und SaKo nur noch über Formularfeld möglich)</t>
  </si>
  <si>
    <t>Text</t>
  </si>
  <si>
    <t>SaKo</t>
  </si>
  <si>
    <t>- Überschrift für Text und SaKo geändert - "(optional)" entfernt</t>
  </si>
  <si>
    <t>- Änderung der Formel für die Summierung: Summe wird errechnet, wenn im Feld A16 ein Wert eingetragen wird</t>
  </si>
  <si>
    <t>2.3</t>
  </si>
  <si>
    <r>
      <rPr>
        <b/>
        <i/>
        <sz val="15"/>
        <color theme="1" tint="0.249977111117893"/>
        <rFont val="Calibri"/>
        <family val="2"/>
        <scheme val="minor"/>
      </rPr>
      <t>Buchung</t>
    </r>
    <r>
      <rPr>
        <b/>
        <i/>
        <sz val="14"/>
        <color theme="1" tint="0.249977111117893"/>
        <rFont val="Calibri"/>
        <family val="2"/>
        <scheme val="minor"/>
      </rPr>
      <t xml:space="preserve"> </t>
    </r>
    <r>
      <rPr>
        <b/>
        <i/>
        <sz val="12"/>
        <color theme="1" tint="0.249977111117893"/>
        <rFont val="Calibri"/>
        <family val="2"/>
        <scheme val="minor"/>
      </rPr>
      <t>(Splitbuchung)</t>
    </r>
  </si>
  <si>
    <t>- Negative Beträge werden rot und mit vorgestelltem "-" dargestellt</t>
  </si>
  <si>
    <t xml:space="preserve">    Bücher, Medien, Druckarbeiten</t>
  </si>
  <si>
    <t xml:space="preserve">    EDV-Aufwendungen</t>
  </si>
  <si>
    <t xml:space="preserve">    Instandhaltung Ausstattung</t>
  </si>
  <si>
    <t xml:space="preserve">    Betriebsaufwendungen Fahrzeuge</t>
  </si>
  <si>
    <t>- Anpassung der Sachkonten gem. Kontenrahmen vom 01.01.2017</t>
  </si>
  <si>
    <t>Matrix1</t>
  </si>
  <si>
    <t>Summe  / Kassenbestand:</t>
  </si>
  <si>
    <t xml:space="preserve">    Leihgebühren</t>
  </si>
  <si>
    <t>1. Zchn</t>
  </si>
  <si>
    <t>Lfd. Nr.</t>
  </si>
  <si>
    <t>Bestand</t>
  </si>
  <si>
    <r>
      <t xml:space="preserve">Von der Kassenführung wird bescheinigt,
dass Buch-und Kassenbestand übereinstimmen:
</t>
    </r>
    <r>
      <rPr>
        <sz val="9"/>
        <rFont val="Calibri"/>
        <family val="2"/>
        <scheme val="minor"/>
      </rPr>
      <t>(Unterschrift Kassenführung)</t>
    </r>
  </si>
  <si>
    <t>Bereich wird gesperrt und ausgeblendet</t>
  </si>
  <si>
    <t>Bereich für Buchungsblatt Aufwand</t>
  </si>
  <si>
    <t>Bereich für Buchungsblatt Ertrag</t>
  </si>
  <si>
    <t>Ertrag</t>
  </si>
  <si>
    <t>Aufwand</t>
  </si>
  <si>
    <t>Matrix</t>
  </si>
  <si>
    <t>Gruppen</t>
  </si>
  <si>
    <t>3.0</t>
  </si>
  <si>
    <t>Aufbau eines Kassenbuches mit automatischer Zuordnung der Aufwendungen und Erträge in getrennte Buchungsblätter</t>
  </si>
  <si>
    <r>
      <t xml:space="preserve">- Basisdateien: </t>
    </r>
    <r>
      <rPr>
        <i/>
        <sz val="10"/>
        <rFont val="Calibri"/>
        <family val="2"/>
        <scheme val="minor"/>
      </rPr>
      <t>Handkassenvorschuss.xls</t>
    </r>
    <r>
      <rPr>
        <sz val="10"/>
        <rFont val="Calibri"/>
        <family val="2"/>
        <scheme val="minor"/>
      </rPr>
      <t xml:space="preserve"> (RV Oberhessen) und </t>
    </r>
    <r>
      <rPr>
        <i/>
        <sz val="10"/>
        <rFont val="Calibri"/>
        <family val="2"/>
        <scheme val="minor"/>
      </rPr>
      <t>Buchungsblatt Handkasse V2.3.xlsx</t>
    </r>
  </si>
  <si>
    <t>Zusammenführung beider Dateien mit folgendem Ziel:</t>
  </si>
  <si>
    <t>- Eingabe aller Einzelkassenbelege (Ertrag und Aufwand) in einem Register "Kassenbuch"</t>
  </si>
  <si>
    <t>- Übersicht und Kontrolle der Handkasse durch Eingabe der Kontostände des Girokonto Handkasse, des Handkassenbarbestandes und
  der noch in Bearbeitung der RV befindlichen Belege aus einer vorhergehenden Abrechnung</t>
  </si>
  <si>
    <t>- Nach Eingabe der Einzelpositionen werden diese automatisch in Aufwands- und Ertragspositionen getrennt und pro Abrechnungsobjekt
  und Sachkonto an die Register "Buchungsblatt Aufwand" und "Buchungsblatt Ertrag" übergeben.</t>
  </si>
  <si>
    <t>Erstellt von</t>
  </si>
  <si>
    <t>Silvia Stafast</t>
  </si>
  <si>
    <t>Formeln und Funktionen in den einzelnen Registern:</t>
  </si>
  <si>
    <r>
      <t xml:space="preserve">- </t>
    </r>
    <r>
      <rPr>
        <b/>
        <i/>
        <sz val="10"/>
        <color rgb="FFC00000"/>
        <rFont val="Calibri"/>
        <family val="2"/>
        <scheme val="minor"/>
      </rPr>
      <t>Barbestand:</t>
    </r>
    <r>
      <rPr>
        <sz val="10"/>
        <rFont val="Calibri"/>
        <family val="2"/>
        <scheme val="minor"/>
      </rPr>
      <t xml:space="preserve"> Eingabe des Handkassenbarbestandes über ein Zählbrett und Übergabe der Summe in das Register "Kassenbuch"</t>
    </r>
  </si>
  <si>
    <t>- Kassenbuch: danach in Abhängigkeit der Kategorie, über ein Active-X-Steuerelement (Dropdown) die Sachkonten angezeigt und ausgewählt.</t>
  </si>
  <si>
    <t>- Kassenbuch: Die Auswahl des Sachkonto wird pro Zeile in der Spalte R hinterlegt und daraufhin über SVERWEIS aus dem Register SaKo ausgelesen.</t>
  </si>
  <si>
    <t>Bezeichnung - Buchungsblatt</t>
  </si>
  <si>
    <t>Bezeichnung - Dropdown für Anwender</t>
  </si>
  <si>
    <t>Kategorie</t>
  </si>
  <si>
    <r>
      <t xml:space="preserve">- </t>
    </r>
    <r>
      <rPr>
        <b/>
        <i/>
        <sz val="10"/>
        <color rgb="FFC00000"/>
        <rFont val="Calibri"/>
        <family val="2"/>
        <scheme val="minor"/>
      </rPr>
      <t>Kassenbuch:</t>
    </r>
    <r>
      <rPr>
        <sz val="10"/>
        <rFont val="Calibri"/>
        <family val="2"/>
        <scheme val="minor"/>
      </rPr>
      <t xml:space="preserve"> Eingabe der 4stelligen Rechtsträgernummer (Daten werden aus dem Register "RT" über </t>
    </r>
    <r>
      <rPr>
        <i/>
        <sz val="10"/>
        <rFont val="Calibri"/>
        <family val="2"/>
        <scheme val="minor"/>
      </rPr>
      <t>SVERWEIS</t>
    </r>
    <r>
      <rPr>
        <sz val="10"/>
        <rFont val="Calibri"/>
        <family val="2"/>
        <scheme val="minor"/>
      </rPr>
      <t xml:space="preserve"> ausgelesen und an die Register 
                           "Barbestand", "Buchungsblatt Aufwand" und "Buchungsblatt Ertrag" übertragen.</t>
    </r>
  </si>
  <si>
    <t>Name d. Kassenführung</t>
  </si>
  <si>
    <t>Aufwand = 1
Ertrag = 2</t>
  </si>
  <si>
    <t>- Kassenbuch: Die Einzelbelege werden über ein Active-X-Steuerelement (Dropdown) in die Kategorie Aufwand=1 oder Ertrag=2 unterteilt und</t>
  </si>
  <si>
    <t>Wird als Gruppe "Aufwand" ausgewählt, der Betrag ist aber bereits im Feld "Ertrag" eingetragen worden, wird das Ertragsfeld in Rot und durchgestrichen dargestellt (=bedingte Formatierung). Wird zuerst die Gruppe "Aufwand" ausgewählt ist eine Eingabe im Feld "Ertrag" nicht mehr möglich (=Daten/Datenüberprüfung). Dies gilt für das Feld "Aufwand" in gleicher Weise. (Änderungen des Textes zur Fehlermeldung können über die Funktion "Reihe berechnen" auf alle folgenden Zellen übertragen werden.)</t>
  </si>
  <si>
    <t>Datenüberprüfung für die folgenden Bereiche (B36:B68 und E36:E68) wenn die max. Anzahl von Zeilen in den Buchungsblättern Aufwand oder Ertrag erreicht ist, wird keine Eingabe mehr zugelassen und ein entsprechender Hinweistext eingeblendet.</t>
  </si>
  <si>
    <t xml:space="preserve">    Instandh. Grundstücke und Außenanlagen</t>
  </si>
  <si>
    <t xml:space="preserve">    Sonst. Aufwend. für Aus- und Fortbildung</t>
  </si>
  <si>
    <t xml:space="preserve">    Sonstige Verwaltungs- u. Betriebsaufw.</t>
  </si>
  <si>
    <t xml:space="preserve">    Verbrauchsmaterial im kirchl. Bereich</t>
  </si>
  <si>
    <t>Spalte E und F werden abhänig von der Kategorie Aufwand oder Ertrag das AbrObj und Sachkonto zu einer Zahl zusammengeführt</t>
  </si>
  <si>
    <t>Spalte T gibt das erste Zeichen des AbrObj wieder; bei Wert =0, wird dieses Zeichen im Buchungsblatt (Aufwand oder Ertrag) dem AbrObj als 1. Zeichen wieder hinzugefügt.</t>
  </si>
  <si>
    <t>- Datum / geprüft -</t>
  </si>
  <si>
    <t>- Datum / angeordnet -</t>
  </si>
  <si>
    <t>Änderung in den Registern Buchungsblatt Aufwand und Ertrag: "geprüft" in "Datum / geprüft"</t>
  </si>
  <si>
    <t>Änderung in den Registern Buchungsblatt Aufwand und Ertrag: "angeordnet" in "Datum / angeordnet"</t>
  </si>
  <si>
    <t>Fußzeile: Version 3.0 - Dezember 2017</t>
  </si>
  <si>
    <t>Spalte U (Aufwand) / Spalte T (Ertrag) gibt den Betrag der Buchungszeile wieder, die im Buchungsblatt (Aufwand oder Ertrag) bei identischem AbrObj und Sachkonto, im nächsten Schritt evtl. summiert wird.</t>
  </si>
  <si>
    <t>Datenüberprüfung für den Bereich E33:E68 - wenn in einem der Buchungsblätter Aufwand oder Ertrag nur noch drei Leerzeilen für Buchungen zur Verfügung steht, wird ein entsprechender Hinweistext zur Information eingeblendet. Die Eingabe der Buchung ist aber weiter möglich.</t>
  </si>
  <si>
    <t>Änderung der Formel für die Bestandsermittlung in Zelle I20: Zur Berechnung des Bestandes wird der Ausgezahlte Handvorschuss (Zelle I15) verwendet</t>
  </si>
  <si>
    <t>HK-Nr. und RT-Nr.
für Handkasse</t>
  </si>
  <si>
    <t>3.1</t>
  </si>
  <si>
    <t>- Aufhebung der Sperrung Spalte D und damit Möglichkeit zur Eingabe von individuellen Belegtexten im Register Kassenbuch. Die Übernahme der Buchungszeile in die Buchungsblätter wird nach wie vor mit dem über den Belegtext gewählten Sachkonto vorgenommen.</t>
  </si>
  <si>
    <t>- Löschung Formel in Zelle I69 im Register Kassenbuch, da Summierung hier nicht mehr notwendig.</t>
  </si>
  <si>
    <r>
      <t xml:space="preserve">Überarbeitung des Formulars: </t>
    </r>
    <r>
      <rPr>
        <b/>
        <sz val="10"/>
        <color rgb="FFFF0000"/>
        <rFont val="Calibri"/>
        <family val="2"/>
        <scheme val="minor"/>
      </rPr>
      <t>Individuelle Eingabe des Belegtextes möglich / Erweiterung der Sachkontenliste / Mandantenübergreifende Abrechnung eines Handvorschusses (meint, dass z.B. zwei pfarramtlich verbundenen Kirchengemeinden einen Handvorschuss führen)</t>
    </r>
  </si>
  <si>
    <t>- Register "Barbestand" - Aktualisierung Summe in Zelle H22</t>
  </si>
  <si>
    <t>Kollekten/
IBAN</t>
  </si>
  <si>
    <t>Bankname</t>
  </si>
  <si>
    <t>BIC</t>
  </si>
  <si>
    <t>KfM-Empfänger-Nr.</t>
  </si>
  <si>
    <t>RT-Nr. Dekanat</t>
  </si>
  <si>
    <t>Dekanatszuordnung</t>
  </si>
  <si>
    <t xml:space="preserve">    Bankgebühren</t>
  </si>
  <si>
    <t xml:space="preserve">    Verpflegungs-/Betreuungsaufwendungen</t>
  </si>
  <si>
    <t>- Erweiterung der Sachkontenliste in Absprache mit den RV und TP2 (SaKo 401400, 531900, 682000 und 691410)</t>
  </si>
  <si>
    <t>- Register "Barbestand": Neue Zeile zum Eintrag des Betrags für Mandantenübergreifende Abrechnung eines Handvorschusses = Zeile 21
Zeile bis auf Weiteres ausgeblendet, da noch nicht endgültig geklärt ist, wie die Abrechnung mehrerer Handkassen über ein Girokonto erfolgt.</t>
  </si>
  <si>
    <t>Fußzeile: Version 3.1 - Dezember 2018</t>
  </si>
  <si>
    <t>Ja</t>
  </si>
  <si>
    <t>Nein</t>
  </si>
  <si>
    <t>Bruttobetrag</t>
  </si>
  <si>
    <t>Belegtext (manueller Eintrag)</t>
  </si>
  <si>
    <t>Ust</t>
  </si>
  <si>
    <t>Nummer</t>
  </si>
  <si>
    <t>Eintrittsgelder 19%</t>
  </si>
  <si>
    <t>Eintrittsgelder 7%</t>
  </si>
  <si>
    <t>Eintrittsgelder 0%</t>
  </si>
  <si>
    <t>Eintrittsgelder n.stb.</t>
  </si>
  <si>
    <t>Teilnehmerbeiträge 19%</t>
  </si>
  <si>
    <t>Teilnehmerbeiträge 7%</t>
  </si>
  <si>
    <t>Teilnehmerbeiträge 0%</t>
  </si>
  <si>
    <t>Teilnehmerbeiträge n. stb.</t>
  </si>
  <si>
    <t>Sonst. kirchl. Verkaufserträge 0%</t>
  </si>
  <si>
    <t>Sonst. kirchl. Verkaufserträge n.stb.</t>
  </si>
  <si>
    <t>Sonst. Verkauferlöse 19%</t>
  </si>
  <si>
    <t>Sonst. Verkaufserlöse 7%</t>
  </si>
  <si>
    <t>Sonst. Verkaufserlöse 0%</t>
  </si>
  <si>
    <t>Sonstige Erstattungen 19%</t>
  </si>
  <si>
    <t>Sonstige Erstattungen 7%</t>
  </si>
  <si>
    <t>Sonstige Erstattungen 0%</t>
  </si>
  <si>
    <t>Sonstige Erstattungen n.stb.</t>
  </si>
  <si>
    <t>Sonst. Ordentl. Erträge 19%</t>
  </si>
  <si>
    <t>Sonst. Ordentl. Erträge 7%</t>
  </si>
  <si>
    <t>Sonst. Ordentl. Erträge 0%</t>
  </si>
  <si>
    <t>Sonst. Ordentl. Erträge n.stb.</t>
  </si>
  <si>
    <t xml:space="preserve">    Eintrittsgelder 19%</t>
  </si>
  <si>
    <t xml:space="preserve">    Eintrittsgelder 7%</t>
  </si>
  <si>
    <t xml:space="preserve">    Eintrittsgelder 0%</t>
  </si>
  <si>
    <t xml:space="preserve">    Eintrittsgelder n.stb.</t>
  </si>
  <si>
    <t xml:space="preserve">    Teilnehmerbeiträge 19%</t>
  </si>
  <si>
    <t xml:space="preserve">    Teilnehmerbeiträge 7%</t>
  </si>
  <si>
    <t xml:space="preserve">    Teilnehmerbeiträge 0%</t>
  </si>
  <si>
    <t xml:space="preserve">    Teilnehmerbeiträge n. stb.</t>
  </si>
  <si>
    <t xml:space="preserve">    Sonst. Ordentl. Erträge n.stb.</t>
  </si>
  <si>
    <t xml:space="preserve">    Sonst. kirchl. Verkaufserträge 0%</t>
  </si>
  <si>
    <t xml:space="preserve">    Sonst. kirchl. Verkaufserträge n.stb.</t>
  </si>
  <si>
    <t xml:space="preserve">    Sonst. Verkauferlöse 19%</t>
  </si>
  <si>
    <t xml:space="preserve">    Sonst. Verkaufserlöse 7%</t>
  </si>
  <si>
    <t xml:space="preserve">    Sonst. Verkaufserlöse 0%</t>
  </si>
  <si>
    <t xml:space="preserve">    Sonstige Erstattungen 19%</t>
  </si>
  <si>
    <t xml:space="preserve">    Sonstige Erstattungen 7%</t>
  </si>
  <si>
    <t xml:space="preserve">    Sonstige Erstattungen 0%</t>
  </si>
  <si>
    <t xml:space="preserve">    Sonstige Erstattungen n.stb.</t>
  </si>
  <si>
    <t xml:space="preserve">    Sonst. Ordentl. Erträge 19%</t>
  </si>
  <si>
    <t xml:space="preserve">    Sonst. Ordentl. Erträge 7%</t>
  </si>
  <si>
    <t xml:space="preserve">    Sonst. Ordentl. Erträge 0%</t>
  </si>
  <si>
    <t xml:space="preserve">    Nutzungsentschädigungen KV 19%</t>
  </si>
  <si>
    <t xml:space="preserve">    Nutzungsentschädigungen KV 0%</t>
  </si>
  <si>
    <t xml:space="preserve">    Nutzungsentschädigungen KV n.stb.</t>
  </si>
  <si>
    <t>N.stb.</t>
  </si>
  <si>
    <t>n.stb.</t>
  </si>
  <si>
    <t>1 ist voll, 0 ist leer</t>
  </si>
  <si>
    <t xml:space="preserve">    Beschaffungen bis € 1.000 brutto</t>
  </si>
  <si>
    <t xml:space="preserve">    Erträge kirchl. Veröffentl. 19%</t>
  </si>
  <si>
    <t xml:space="preserve">    Erträge.Vertr kirchl.Schriften 7%</t>
  </si>
  <si>
    <t xml:space="preserve">    Zweckgebundene Spenden</t>
  </si>
  <si>
    <t>Nicht zweckgebundene Spenden</t>
  </si>
  <si>
    <t>Zweckgebundene Spenden</t>
  </si>
  <si>
    <t>Sonstige Zuschüsse von Kommunen</t>
  </si>
  <si>
    <t>Erträge kirchl. Veröffentl. 19%</t>
  </si>
  <si>
    <t>Erträge.Vertr kirchl.Schriften 7%</t>
  </si>
  <si>
    <t>Nutzungsentschädigungen KV 19%</t>
  </si>
  <si>
    <t>Nutzungsentschädigungen KV 0%</t>
  </si>
  <si>
    <t>Nutzungsentschädigungen KV n.stb.</t>
  </si>
  <si>
    <t>Auswahl des Sachkontos</t>
  </si>
  <si>
    <t>Sachkonto</t>
  </si>
  <si>
    <t>Umstellung der Formel zum Übertrag in Buchungsblatt bei Erträgen. Durch das Hinzuziehen der Datumsangabe wurde die Eingabe der Abrechnungsobjekte auf 6 Stellen begrenzt. Formel wurde mit mehreren Sverweisen umgestellt. Dadurch können nun, wie bei den Aufwendungen 9 Stellen bei den Abrechnungsobjekten verwendet werden</t>
  </si>
  <si>
    <t>- Formelfehler in Buchungsblatt Ertrag wurde korrigiert.</t>
  </si>
  <si>
    <t>Weiterzuleitende Spenden</t>
  </si>
  <si>
    <t xml:space="preserve">    Weiterzuleitende Spenden</t>
  </si>
  <si>
    <t>bis 3.6</t>
  </si>
  <si>
    <t>Aktualisierung zur Belegbearbeitung im Zuge der USt-Einführung</t>
  </si>
  <si>
    <t>Philipp Sauder</t>
  </si>
  <si>
    <t>- Aufnahme der USt-Sätze für den Ertragsbereich beim jeweiligen Sachkonto im Register SaKo</t>
  </si>
  <si>
    <t>- Aufnahme des SaKo 482300 Nicht zweckgebundene Spenden</t>
  </si>
  <si>
    <t>- Im Buchungsblatt Ertrag erfolgt die Zusammenfassung von Einzelbeträgen, wenn Monat, Sachkonto und Abrechnungsobjekt übereinstimmen. In diesen Fällen wird der des Sachkonto zugeordnete Belegtext angezeigt. In allen anderen Fällen wird der Belegttext der Buchungszeile im Kassenbuch angezeigt.</t>
  </si>
  <si>
    <t>- Fußzeile Buchungsblatt Aufwand und Ertrag: Version 3.6 - Juli 2021</t>
  </si>
  <si>
    <t>3.6.A</t>
  </si>
  <si>
    <t>Formelfehler: Übernahme des Barbestands ins Kassenbuch wurde korrigiert</t>
  </si>
  <si>
    <t>- Fußzeile Buchungsblatt Aufwand und Ertrag: Version 3.6 - September 2021</t>
  </si>
  <si>
    <t>3.7</t>
  </si>
  <si>
    <t>- Korrektur des Formats der IBAN (B11:I11) im Buchungsblatt Aufwand</t>
  </si>
  <si>
    <t>- Aufnahme des SaKo 361100 Weiterzuleitende Spenden</t>
  </si>
  <si>
    <t>- Fußzeile Buchungsblatt Aufwand und Ertrag: Version 3.7 - Oktober 2021</t>
  </si>
  <si>
    <t>- Kassenbuch Zelle J2: Erweiterung des Bereichs ($A$2:$G$500) der Funktion SVERWEIS zum Auslesen der Rechtsträgernummer im Register "RT"</t>
  </si>
  <si>
    <t>- Kassenbuch Zelle F5: Erweiterung des Bereichs ($A$2:$G$500) der Funktion SVERWEIS zum Auslesen des Rechtsträgernamens im Register "RT"</t>
  </si>
  <si>
    <t>- Buchungsblatt Ertrag: Übertragung des Banknamens (Zelle B10) aus Buchungsblatt Aufwand</t>
  </si>
  <si>
    <t>- Buchungsblatt Ertrag: Übertragung der IBAN (Zelle B11:H11) aus Buchungsblatt Aufwand</t>
  </si>
  <si>
    <t>- Buchungsblatt Ertrag: alle Zelle werden für die manuelle Eingabe gesperrt</t>
  </si>
  <si>
    <t>- Buchungsblatt Aufwand: alle Zelle werden für die manuelle Eingabe gesperrt - Ausnahmen: E9; B10; B11:I11</t>
  </si>
  <si>
    <t>- Barbestand Zelle G2: Erweiterung des Bereichs ($A$2:$G$500) der Funktion SVERWEIS zum Auslesen der Rechtsträgernummer im Register "RT"</t>
  </si>
  <si>
    <t>- Barbestand Zelle C4: Erweiterung des Bereichs ($A$2:$G$500) der Funktion SVERWEIS zum Auslesen des Rechtsträgernamens im Register "RT"</t>
  </si>
  <si>
    <t>- Buchungsblatt Aufwand Zelle B5: Erweiterung des Bereichs ($A$2:$G$500) der Funktion SVERWEIS zum Auslesen der Rechtsträgernummer im Register "RT"</t>
  </si>
  <si>
    <t>- Buchungsblatt Aufwand Zelle E9: Erweiterung des Bereichs ($A$2:$G$500) der Funktion SVERWEIS zum Auslesen der Rechtsträgernummer im Register "RT"</t>
  </si>
  <si>
    <t>- Buchungsblatt Ertrag  Zelle H2: Erweiterung des Bereichs ($A$2:$G$500) der Funktion SVERWEIS zum Auslesen der Rechtsträgernummer im Register "RT"</t>
  </si>
  <si>
    <t>- Buchungsblatt Aufwand Zelle I2: Erweiterung des Bereichs ($A$2:$G$500) der Funktion SVERWEIS zum Auslesen der Rechtsträgernummer im Register "RT"</t>
  </si>
  <si>
    <t>- Buchungsblatt Ertrag  Zelle B5: Erweiterung des Bereichs ($A$2:$G$500) der Funktion SVERWEIS zum Auslesen der Rechtsträgernummer im Register "RT"</t>
  </si>
  <si>
    <t>- Buchungsblatt Ertrag  Zelle B9: Erweiterung des Bereichs ($A$2:$G$500) der Funktion SVERWEIS zum Auslesen der Rechtsträgernummer im Register "RT"</t>
  </si>
  <si>
    <t>- Buchungsblatt Aufwand Zelle B9: Erweiterung des Bereichs ($A$2:$G$500) der Funktion SVERWEIS zum Auslesen der Rechtsträgernummer im Register "RT"</t>
  </si>
  <si>
    <t>3.8</t>
  </si>
  <si>
    <t>Funktion SVERWEIS im Register "Kassenbuch" in Zelle J2 und F5 auf Spaltenbezug $A:$K geändert</t>
  </si>
  <si>
    <t>Fußzeile Buchungsblatt Aufwand und Ertrag: Version 3.8 - Januar 2024</t>
  </si>
  <si>
    <t xml:space="preserve">    Zuwendung an natürliche Personen</t>
  </si>
  <si>
    <t xml:space="preserve">    Geschenke Mitarb. Sachzuwend. LSt-frei</t>
  </si>
  <si>
    <t xml:space="preserve">    Geschenke Mitarb. anlassbezog. LSt-frei</t>
  </si>
  <si>
    <t xml:space="preserve">    Geschenke Mitarb. &gt;50€ LSt-pflichtig AN</t>
  </si>
  <si>
    <t xml:space="preserve">    Geschenke Mitarb. &gt;50€ Pauschalverst.</t>
  </si>
  <si>
    <t xml:space="preserve">    Geschenke Ehrenamtl. StreuwArt. &lt;10 €</t>
  </si>
  <si>
    <t xml:space="preserve">    Geschenke Ehrenamtl. &lt;50 € Pausch.Verst.</t>
  </si>
  <si>
    <t xml:space="preserve">    Geschenke Ehrenamtl. &gt;50 € Pausch.Verst.</t>
  </si>
  <si>
    <t xml:space="preserve">    Geschenke Ehrenamtl. Anlassbezogen</t>
  </si>
  <si>
    <t xml:space="preserve">    Geschenke Ehrenamtl. Hoheitsbereich</t>
  </si>
  <si>
    <t>Sachkonten Geschenke für Mitarbeitende und Ehrenamtliche in Register "SaKo" eingefügt</t>
  </si>
  <si>
    <t>Fußzeile Buchungsblatt Aufwand und Ertrag: Version 3.8 - Januar 2025</t>
  </si>
  <si>
    <r>
      <rPr>
        <b/>
        <sz val="10"/>
        <color rgb="FFFF0000"/>
        <rFont val="Calibri"/>
        <family val="2"/>
        <scheme val="minor"/>
      </rPr>
      <t>Hinweis:</t>
    </r>
    <r>
      <rPr>
        <sz val="10"/>
        <color rgb="FFFF0000"/>
        <rFont val="Calibri"/>
        <family val="2"/>
        <scheme val="minor"/>
      </rPr>
      <t xml:space="preserve"> Wenn die Liste der SaKo erweitert wird, muss im Buchungsblatt  der Bereich der </t>
    </r>
    <r>
      <rPr>
        <i/>
        <sz val="10"/>
        <color rgb="FFFF0000"/>
        <rFont val="Calibri"/>
        <family val="2"/>
        <scheme val="minor"/>
      </rPr>
      <t>"Dropdownzeilen"</t>
    </r>
    <r>
      <rPr>
        <sz val="10"/>
        <color rgb="FFFF0000"/>
        <rFont val="Calibri"/>
        <family val="2"/>
        <scheme val="minor"/>
      </rPr>
      <t xml:space="preserve"> und der Datenbankfunktion (SVERWEIS) angepasst werden!! - siehe Kommentar</t>
    </r>
  </si>
  <si>
    <t>Namensbereiche (Aufwand, SaKoAufwand etc.) in der Datenbankfunktion SVERWEIS im "Kassenbuch" entsprechend erweitert.</t>
  </si>
  <si>
    <t>Abrechnung vom</t>
  </si>
  <si>
    <t>bis</t>
  </si>
  <si>
    <t>Bankbestand lt. Kontoauszug</t>
  </si>
  <si>
    <t>Noch nicht abgerechnete Belege RV - Aufwand</t>
  </si>
  <si>
    <t>Prüfung Vorschusssumme</t>
  </si>
  <si>
    <t>Abrechnungsobjekt</t>
  </si>
  <si>
    <t>Nummerierung</t>
  </si>
  <si>
    <t>Bestimmung  Position in Tabelle 1</t>
  </si>
  <si>
    <t>Erster Sverweis Tabelle 1</t>
  </si>
  <si>
    <t>Eliminierung doppelter Positionen</t>
  </si>
  <si>
    <t>Liste ohne Dupletten</t>
  </si>
  <si>
    <t>Zahlencode ohne Dupletten</t>
  </si>
  <si>
    <t>Verpflegung 19%</t>
  </si>
  <si>
    <t>Verpflegung 7%</t>
  </si>
  <si>
    <t xml:space="preserve">    Verpflegung 19%</t>
  </si>
  <si>
    <t xml:space="preserve">    Verpflegung 7%</t>
  </si>
  <si>
    <t>Kassenbuch</t>
  </si>
  <si>
    <t>Barbestand der Handkasse</t>
  </si>
  <si>
    <t>am</t>
  </si>
  <si>
    <t>Kassenbestand/bar Tagesabschluss</t>
  </si>
  <si>
    <t>Ausgezahlter Handvorschuss</t>
  </si>
  <si>
    <t>Kontrolle der Bestände nach Abrechnung
Bankbestand lt. Kontoauszug
+Barbestand der Handkasse
+noch nicht abgerechnete Belege RV - Aufwand
- noch nicht abgerechnete Belege RV - Ertrag
+ / - Saldo aus dieser Abrechnung
= muss Vorschusssumme ergeben!</t>
  </si>
  <si>
    <t>Noch nicht abgerechnete Belege RV - Ertrag</t>
  </si>
  <si>
    <t>3.9-PNC</t>
  </si>
  <si>
    <t>Neue Version zur Nutzung im Portal (NextCloud):</t>
  </si>
  <si>
    <t>Entfernung aller Steuerelemente und Ersatz durch die Funktion Datenvalidierung (Daten/Datenprüfung)</t>
  </si>
  <si>
    <t>Zellen M20:49: ermöglichen die Auswahl auf "Gruppen" im Register SaKo</t>
  </si>
  <si>
    <t>Zellen O20:49: ermöglichen die Auswahl auf die Sachkonten</t>
  </si>
  <si>
    <t>Änderung Fußzeile = Version 3.9-PNC - Januar 2026</t>
  </si>
  <si>
    <t>Papiergeld:</t>
  </si>
  <si>
    <t>Münzgeld:</t>
  </si>
  <si>
    <t>Anzahl</t>
  </si>
  <si>
    <t>Summe</t>
  </si>
  <si>
    <t>Rollgeld =</t>
  </si>
  <si>
    <t>Kassenbestand / bar</t>
  </si>
  <si>
    <t>Mandantenübergreifende Abrechnung - Summe:</t>
  </si>
  <si>
    <t>Register Kassenbuch: Erweiterung Spalte I (Ertrag) auf 10,71</t>
  </si>
  <si>
    <t>Register Kassenbuch: Zelle K39 - Eintrag fehlende Formel</t>
  </si>
  <si>
    <t>Register Barbestand: Änderung der Skalierung = Blatt auf einer Seite darstellen</t>
  </si>
  <si>
    <t>- Fußzeile Buchungsblatt Aufwand und Ertrag: Version 3.9-PNC A - Januar 2026</t>
  </si>
  <si>
    <t>3.9-PNC A</t>
  </si>
  <si>
    <t>Oberursel</t>
  </si>
  <si>
    <t>Ev. RVV Oberursel</t>
  </si>
  <si>
    <t>Ev. Kirchengemeinde Burgholzhausen</t>
  </si>
  <si>
    <t>Dekanat Hochtaunus</t>
  </si>
  <si>
    <t>Ev. Kirchengemeinde Friedrichsdorf</t>
  </si>
  <si>
    <t>Ev. Kirchengemeinde Köppern</t>
  </si>
  <si>
    <t>Ev. Kirchengemeinde Oberstedten</t>
  </si>
  <si>
    <t>Ev. Kirchengemeinde Seulberg</t>
  </si>
  <si>
    <t>Ev. St. Georgsgemeinde Steinbach</t>
  </si>
  <si>
    <t>Ev. Versöhnungsgemeinde Stierstadt-Weißkirchen</t>
  </si>
  <si>
    <t>Ev. Auferstehungsgemeinde Oberursel</t>
  </si>
  <si>
    <t>Ev. Christuskirchengemeinde Oberursel</t>
  </si>
  <si>
    <t>Ev. Heilig-Geist- Kirchengemeinde Oberursel</t>
  </si>
  <si>
    <t>Ev. Kreuzkirchengemeinde Oberursel</t>
  </si>
  <si>
    <t>Ev. Kirchengemeinde Anspach</t>
  </si>
  <si>
    <t>Ev. Kirchengemeinde Arnoldshain</t>
  </si>
  <si>
    <t>Ev. Kirchengemeinde Emmershausen</t>
  </si>
  <si>
    <t>Ev. Kirchengemeinde Eschbach</t>
  </si>
  <si>
    <t>Ev. Kirchengemeinde Gemünden</t>
  </si>
  <si>
    <t>Ev. Kirchengemeinde Grävenwiesbach</t>
  </si>
  <si>
    <t>Ev. Kirchengemeinde Rod am Berg</t>
  </si>
  <si>
    <t>Ev. Kirchengemeinde Rod an der Weil</t>
  </si>
  <si>
    <t>Ev. Kirchengemeinde Usingen</t>
  </si>
  <si>
    <t>Ev. Kirchengemeinde Wehrheim</t>
  </si>
  <si>
    <t>Ev. Kirchengemeinde Hausen-Westerfeld</t>
  </si>
  <si>
    <t>Ev. Kirchengemeinde Weilnau</t>
  </si>
  <si>
    <t>Ev. Kirchengemeinde Merzhausen-Lauken</t>
  </si>
  <si>
    <t>Ev. Kirchengemeinde Bad Homburg v.d. Höhe</t>
  </si>
  <si>
    <t>Ev. Dekanat Hochtaunus</t>
  </si>
  <si>
    <t>Ev. Kirchengemeinde Bad Soden</t>
  </si>
  <si>
    <t>Dekanat Kronberg</t>
  </si>
  <si>
    <t>Ev. Kirchengemeinde Diedenbergen</t>
  </si>
  <si>
    <t>Ev. Kirchengemeinde Eddersheim</t>
  </si>
  <si>
    <t>Ev. Talkirchengemeinde Eppstein</t>
  </si>
  <si>
    <t>Ev. Kirchengemeinde Eschborn</t>
  </si>
  <si>
    <t>Ev. Martin-Luther-Gemeinde Falkenstein</t>
  </si>
  <si>
    <t>Ev. Kirchengemeinde Hattersheim</t>
  </si>
  <si>
    <t>Ev. Johannesgemeinde Hofheim</t>
  </si>
  <si>
    <t>Ev. Thomasgemeinde Hofheim</t>
  </si>
  <si>
    <t>Ev. Lukasgemeinde Kelkheim</t>
  </si>
  <si>
    <t>Ev. Immanuelgemeinde Königstein</t>
  </si>
  <si>
    <t>Ev. Auferstehungsgemeinde Kriftel</t>
  </si>
  <si>
    <t>Ev. Kirchengemeinde St. Johann Kronberg</t>
  </si>
  <si>
    <t>Ev. Kirchengemeinde Langenhain</t>
  </si>
  <si>
    <t>Ev. Kirchengemeinde Lorsbach</t>
  </si>
  <si>
    <t>Ev. Kirchengemeinde Neuenhain</t>
  </si>
  <si>
    <t>Ev. Andreasgemeinde Niederhöchstadt</t>
  </si>
  <si>
    <t>Ev. Emmausgemeinde Eppstein</t>
  </si>
  <si>
    <t>Ev. Kirchengemeinde Oberhöchstadt</t>
  </si>
  <si>
    <t>Ev. Matthäusgemeinde Okriftel</t>
  </si>
  <si>
    <t>Ev. Kirchengemeinde Schneidhain</t>
  </si>
  <si>
    <t>Ev. Markusgemeinde Schönberg</t>
  </si>
  <si>
    <t>Ev. Friedenskirchengemeinde Schwalbach</t>
  </si>
  <si>
    <t>Ev. Limesgemeinde Schwalbach</t>
  </si>
  <si>
    <t>Ev. Kirchengemeinde Sulzbach</t>
  </si>
  <si>
    <t>Ev. Kirchengemeinde Liederbach</t>
  </si>
  <si>
    <t>Ev. Kirchengemeinde Flörsheim</t>
  </si>
  <si>
    <t>Ev. Kirchengemeinde Weilbach</t>
  </si>
  <si>
    <t>Ev. Lukasgemeinde Glashütten</t>
  </si>
  <si>
    <t>Ev. Dekanat Kronberg</t>
  </si>
  <si>
    <t>Andreasstiftung</t>
  </si>
  <si>
    <t>Stiftung der Ev. Heilig-Geist-Kirchengemeinde Oberursel</t>
  </si>
  <si>
    <t>Stiftung der Ev. Immanuel-Gemeinde Königstein</t>
  </si>
  <si>
    <t>Treuhandfonds Ev. KGM Bad Soden</t>
  </si>
  <si>
    <t>Stiftung Ev. KGM Bad Soden</t>
  </si>
  <si>
    <t>Stiftung der Ev. Kirchengemeinde Usingen</t>
  </si>
  <si>
    <t>Hattersheim evangelisch-Stiftung</t>
  </si>
  <si>
    <t>Stiftung Hugenottenkirche Friedrichsdorf</t>
  </si>
  <si>
    <t>Kreuzkirchenstiftung</t>
  </si>
  <si>
    <t>Stiftung der Martin-Luther-Gemeinde Falkenstein</t>
  </si>
  <si>
    <t>Pompilia-Schorr-Treuhandfonds</t>
  </si>
  <si>
    <t>Senfkornstiftung</t>
  </si>
  <si>
    <t>Stiftung der St. Georgsgemeinde Steinbach</t>
  </si>
  <si>
    <t>Stiftung Ste(d)ter Tropfen</t>
  </si>
  <si>
    <t>Stiftung der Ev. Talkirchengemeinde Eppstein</t>
  </si>
  <si>
    <t>Stiftung zur Himmelspforte</t>
  </si>
  <si>
    <t>Bad Homburger Hospizdienst e.V.</t>
  </si>
  <si>
    <t>Zweckverband Diakoniestation Usinger Land</t>
  </si>
  <si>
    <t>Hospitalstiftung Kronberg</t>
  </si>
  <si>
    <t>Stiftung Kirche in Stadt - Eine Stiftung d. Erlöserkirche Bad Homburg</t>
  </si>
  <si>
    <t>Bachchor Ev. Erlöserkirche</t>
  </si>
  <si>
    <t>Ev. Gedächtniskirche Krippe, Bonhöfferhaus</t>
  </si>
  <si>
    <t>Ev. KiTa Köppern</t>
  </si>
  <si>
    <t>Ev. KiTa Rosengärtchen, Oberursel Krippe</t>
  </si>
  <si>
    <t>Ev. KiTa Usingen</t>
  </si>
  <si>
    <t>Ev. KiTa Westerfeld</t>
  </si>
  <si>
    <t>Ev. Kita und Hort Erlöserkirche</t>
  </si>
  <si>
    <t>Ev. Kleinkinderschule KiTa und Krippe</t>
  </si>
  <si>
    <t>Ev. KiTa und Krippe Steinbach</t>
  </si>
  <si>
    <t>Ev. KiTa Stierstadt</t>
  </si>
  <si>
    <t>Ev. KiTa Christuskirche</t>
  </si>
  <si>
    <t>Ev. KiTa und Krippe Arche Noah, Oberursel</t>
  </si>
  <si>
    <t>Ev. KiTa und Krippe Kreuzkirche, Oberursel</t>
  </si>
  <si>
    <t>Ev. KiTa Hausen-Arnsbach</t>
  </si>
  <si>
    <t>Ev. KiTa Falkenstein, Martin-Luther-Gemeinde</t>
  </si>
  <si>
    <t>Ev. KiTa Hattersheim</t>
  </si>
  <si>
    <t>Ev. KiTa Ritterwiesen, Liederbach</t>
  </si>
  <si>
    <t>Ev. KiTa Bahnstraße, Liederbach</t>
  </si>
  <si>
    <t>Ev. KiFaz  Rosengärtchen, Oberursel</t>
  </si>
  <si>
    <t>Ev. KiTa Rappelkiste Schönberg</t>
  </si>
  <si>
    <t>Ev. KiTa Kleine Strolche</t>
  </si>
  <si>
    <t>Ev. KiTa Am Bonhoeffer-Haus</t>
  </si>
  <si>
    <t>Ev. KiTa Unterm Himmelszelt Neu-Anspach</t>
  </si>
  <si>
    <t>Ev. KiTa Unterm Regenbogen, Bad Soden</t>
  </si>
  <si>
    <t>Ev. KiTa Im Sonnengarten, Bad Soden</t>
  </si>
  <si>
    <t>Ev. Vorkita, Bad Soden</t>
  </si>
  <si>
    <t>Ev. Regenbogen Krippe, Bad Soden</t>
  </si>
  <si>
    <t>Ev. KiTa Kunterbunt, Diedenbergen</t>
  </si>
  <si>
    <t>Ev. KiTa Frechdachs, Diedenbergen</t>
  </si>
  <si>
    <t>Diedenbergen Betreute Grundschule</t>
  </si>
  <si>
    <t>Ev. KiTa Eppstein</t>
  </si>
  <si>
    <t>Ev. Krippe, Eppstein</t>
  </si>
  <si>
    <t>Ev. KiTa Eschborn</t>
  </si>
  <si>
    <t>Ev. Krippe Hattersheim</t>
  </si>
  <si>
    <t>Ev. KiTa Hofheim-Johannes</t>
  </si>
  <si>
    <t>Ev. Krippe Hofheim-Johannes</t>
  </si>
  <si>
    <t>Ev. Steinbergschule Hofheim-Johannes</t>
  </si>
  <si>
    <t>Ev. KiTa Hofheim-Marxheim</t>
  </si>
  <si>
    <t>Ev. KiTa Paulus, Kelkheim</t>
  </si>
  <si>
    <t>Ev. KiTa Stephanus, Kelkheim</t>
  </si>
  <si>
    <t>Ev. Krippe Stephanus, Kelkheim</t>
  </si>
  <si>
    <t>Ev. KiTa Königstein</t>
  </si>
  <si>
    <t>Ev. KiTa Kriftel</t>
  </si>
  <si>
    <t>Ev. Krippe Kriftel</t>
  </si>
  <si>
    <t>Ev. KiTa Kronberg</t>
  </si>
  <si>
    <t>Ev. KiTa Langenhain</t>
  </si>
  <si>
    <t>Ev. Krippe Langenhain</t>
  </si>
  <si>
    <t>Ev. Schule Langenhain</t>
  </si>
  <si>
    <t>Ev. KiTa Lorsbach</t>
  </si>
  <si>
    <t>Lorsbach Betr. Grundschule</t>
  </si>
  <si>
    <t>Ev. KiTa Neuenhain</t>
  </si>
  <si>
    <t>Ev. Kirchengemeinde Neuenhain/Mammolshain</t>
  </si>
  <si>
    <t>Ev. Krippe Neuenhain</t>
  </si>
  <si>
    <t>Ev. Kirchengemeinde Neuenhain/Augustinum</t>
  </si>
  <si>
    <t>Ev. KiTa Oberhöchstadt</t>
  </si>
  <si>
    <t>Ev. Krippe Schönberg</t>
  </si>
  <si>
    <t>Ev. Friedens KiTa Schwalbach</t>
  </si>
  <si>
    <t>Ev. Friedens Krabbelgruppe Schwalbach</t>
  </si>
  <si>
    <t>Ev. KiTa Schwalbach - Limes</t>
  </si>
  <si>
    <t>Ev. KiTa Sulzbach</t>
  </si>
  <si>
    <t>Ev. KiTa Flörsheim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</si>
</sst>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8" formatCode="#,##0.00\ &quot;€&quot;;[Red]\-#,##0.00\ &quot;€&quot;"/>
    <numFmt numFmtId="44" formatCode="_-* #,##0.00\ &quot;€&quot;_-;\-* #,##0.00\ &quot;€&quot;_-;_-* &quot;-&quot;??\ &quot;€&quot;_-;_-@_-"/>
    <numFmt numFmtId="164" formatCode="0000"/>
    <numFmt numFmtId="165" formatCode="dd/mm/yy;@"/>
    <numFmt numFmtId="166" formatCode="#,##0.00\ [$€-407];[Red]\-#,##0.00\ [$€-407]"/>
    <numFmt numFmtId="167" formatCode="00"/>
    <numFmt numFmtId="168" formatCode="_-* #,##0.00\ [$€-407]_-;\-* #,##0.00\ [$€-407]_-;_-* &quot;-&quot;??\ [$€-407]_-;_-@_-"/>
    <numFmt numFmtId="169" formatCode="0#####"/>
    <numFmt numFmtId="171" formatCode="[Red]\-#,##0.00\ &quot;€&quot;"/>
  </numFmts>
  <fonts count="51" x14ac:knownFonts="1">
    <font>
      <sz val="10"/>
      <name val="Arial"/>
      <family val="2"/>
    </font>
    <font>
      <sz val="11"/>
      <color theme="1"/>
      <name val="Calibri"/>
      <family val="2"/>
      <scheme val="minor"/>
    </font>
    <font>
      <sz val="11"/>
      <color theme="1"/>
      <name val="Calibri"/>
      <family val="2"/>
      <scheme val="minor"/>
    </font>
    <font>
      <sz val="10"/>
      <color theme="1"/>
      <name val="Calibri"/>
      <family val="2"/>
    </font>
    <font>
      <sz val="11"/>
      <color theme="1"/>
      <name val="Calibri"/>
      <family val="2"/>
      <scheme val="minor"/>
    </font>
    <font>
      <sz val="11"/>
      <color theme="1"/>
      <name val="Calibri"/>
      <family val="2"/>
      <scheme val="minor"/>
    </font>
    <font>
      <b/>
      <sz val="10"/>
      <name val="Calibri"/>
      <family val="2"/>
      <scheme val="minor"/>
    </font>
    <font>
      <b/>
      <sz val="9"/>
      <name val="Calibri"/>
      <family val="2"/>
      <scheme val="minor"/>
    </font>
    <font>
      <b/>
      <sz val="11"/>
      <name val="Calibri"/>
      <family val="2"/>
      <scheme val="minor"/>
    </font>
    <font>
      <b/>
      <u/>
      <sz val="9"/>
      <name val="Calibri"/>
      <family val="2"/>
      <scheme val="minor"/>
    </font>
    <font>
      <b/>
      <i/>
      <sz val="20"/>
      <color theme="1" tint="0.249977111117893"/>
      <name val="Calibri"/>
      <family val="2"/>
      <scheme val="minor"/>
    </font>
    <font>
      <b/>
      <i/>
      <sz val="14"/>
      <color theme="1" tint="0.249977111117893"/>
      <name val="Calibri"/>
      <family val="2"/>
      <scheme val="minor"/>
    </font>
    <font>
      <b/>
      <sz val="11"/>
      <color theme="1" tint="0.249977111117893"/>
      <name val="Calibri"/>
      <family val="2"/>
      <scheme val="minor"/>
    </font>
    <font>
      <sz val="10"/>
      <name val="Calibri"/>
      <family val="2"/>
      <scheme val="minor"/>
    </font>
    <font>
      <b/>
      <i/>
      <sz val="9"/>
      <color theme="1" tint="0.249977111117893"/>
      <name val="Calibri"/>
      <family val="2"/>
      <scheme val="minor"/>
    </font>
    <font>
      <b/>
      <i/>
      <sz val="12"/>
      <color theme="1" tint="0.249977111117893"/>
      <name val="Calibri"/>
      <family val="2"/>
      <scheme val="minor"/>
    </font>
    <font>
      <sz val="10"/>
      <name val="Arial"/>
      <family val="2"/>
    </font>
    <font>
      <b/>
      <sz val="13"/>
      <name val="Calibri"/>
      <family val="2"/>
      <scheme val="minor"/>
    </font>
    <font>
      <b/>
      <sz val="9"/>
      <color indexed="81"/>
      <name val="Segoe UI"/>
      <family val="2"/>
    </font>
    <font>
      <sz val="9"/>
      <color indexed="81"/>
      <name val="Segoe UI"/>
      <family val="2"/>
    </font>
    <font>
      <sz val="10"/>
      <color theme="1"/>
      <name val="Calibri"/>
      <family val="2"/>
      <scheme val="minor"/>
    </font>
    <font>
      <b/>
      <sz val="22"/>
      <name val="Calibri"/>
      <family val="2"/>
      <scheme val="minor"/>
    </font>
    <font>
      <sz val="11"/>
      <name val="Calibri"/>
      <family val="2"/>
      <scheme val="minor"/>
    </font>
    <font>
      <sz val="14"/>
      <name val="Calibri"/>
      <family val="2"/>
      <scheme val="minor"/>
    </font>
    <font>
      <i/>
      <sz val="10"/>
      <name val="Calibri"/>
      <family val="2"/>
      <scheme val="minor"/>
    </font>
    <font>
      <b/>
      <i/>
      <sz val="15"/>
      <color theme="1" tint="0.249977111117893"/>
      <name val="Calibri"/>
      <family val="2"/>
      <scheme val="minor"/>
    </font>
    <font>
      <sz val="10"/>
      <color rgb="FFFF0000"/>
      <name val="Calibri"/>
      <family val="2"/>
      <scheme val="minor"/>
    </font>
    <font>
      <b/>
      <sz val="10"/>
      <color rgb="FFFF0000"/>
      <name val="Calibri"/>
      <family val="2"/>
      <scheme val="minor"/>
    </font>
    <font>
      <sz val="10"/>
      <name val="MS Sans Serif"/>
      <family val="2"/>
    </font>
    <font>
      <i/>
      <sz val="10"/>
      <color rgb="FFFF0000"/>
      <name val="Calibri"/>
      <family val="2"/>
      <scheme val="minor"/>
    </font>
    <font>
      <b/>
      <u/>
      <sz val="10"/>
      <color indexed="10"/>
      <name val="Calibri"/>
      <family val="2"/>
      <scheme val="minor"/>
    </font>
    <font>
      <b/>
      <u/>
      <sz val="12"/>
      <color indexed="10"/>
      <name val="Calibri"/>
      <family val="2"/>
      <scheme val="minor"/>
    </font>
    <font>
      <b/>
      <sz val="10"/>
      <color indexed="10"/>
      <name val="Calibri"/>
      <family val="2"/>
      <scheme val="minor"/>
    </font>
    <font>
      <b/>
      <sz val="12"/>
      <name val="Calibri"/>
      <family val="2"/>
      <scheme val="minor"/>
    </font>
    <font>
      <sz val="9"/>
      <name val="Calibri"/>
      <family val="2"/>
      <scheme val="minor"/>
    </font>
    <font>
      <b/>
      <sz val="9"/>
      <color theme="1" tint="0.249977111117893"/>
      <name val="Calibri"/>
      <family val="2"/>
      <scheme val="minor"/>
    </font>
    <font>
      <b/>
      <i/>
      <sz val="11"/>
      <color rgb="FFC00000"/>
      <name val="Calibri"/>
      <family val="2"/>
      <scheme val="minor"/>
    </font>
    <font>
      <b/>
      <i/>
      <sz val="10"/>
      <color rgb="FFC00000"/>
      <name val="Calibri"/>
      <family val="2"/>
      <scheme val="minor"/>
    </font>
    <font>
      <b/>
      <sz val="10"/>
      <color rgb="FFC00000"/>
      <name val="Calibri"/>
      <family val="2"/>
      <scheme val="minor"/>
    </font>
    <font>
      <b/>
      <sz val="11"/>
      <color rgb="FFC00000"/>
      <name val="Calibri"/>
      <family val="2"/>
      <scheme val="minor"/>
    </font>
    <font>
      <sz val="11"/>
      <color rgb="FFC00000"/>
      <name val="Calibri"/>
      <family val="2"/>
      <scheme val="minor"/>
    </font>
    <font>
      <sz val="8"/>
      <name val="Calibri"/>
      <family val="2"/>
      <scheme val="minor"/>
    </font>
    <font>
      <b/>
      <sz val="8"/>
      <name val="Calibri"/>
      <family val="2"/>
      <scheme val="minor"/>
    </font>
    <font>
      <b/>
      <i/>
      <u/>
      <sz val="12"/>
      <name val="Calibri"/>
      <family val="2"/>
      <scheme val="minor"/>
    </font>
    <font>
      <b/>
      <sz val="11"/>
      <color theme="1"/>
      <name val="Calibri"/>
      <family val="2"/>
      <scheme val="minor"/>
    </font>
    <font>
      <b/>
      <i/>
      <sz val="22"/>
      <name val="Calibri"/>
      <family val="2"/>
      <scheme val="minor"/>
    </font>
    <font>
      <b/>
      <i/>
      <sz val="9"/>
      <color theme="1"/>
      <name val="Calibri"/>
      <family val="2"/>
      <scheme val="minor"/>
    </font>
    <font>
      <b/>
      <i/>
      <sz val="9"/>
      <name val="Calibri"/>
      <family val="2"/>
      <scheme val="minor"/>
    </font>
    <font>
      <b/>
      <i/>
      <sz val="12"/>
      <color theme="1"/>
      <name val="Calibri"/>
      <family val="2"/>
      <scheme val="minor"/>
    </font>
    <font>
      <b/>
      <i/>
      <sz val="12"/>
      <name val="Calibri"/>
      <family val="2"/>
      <scheme val="minor"/>
    </font>
    <font>
      <b/>
      <sz val="10"/>
      <color theme="1"/>
      <name val="Calibri"/>
      <family val="2"/>
      <scheme val="minor"/>
    </font>
  </fonts>
  <fills count="9">
    <fill>
      <patternFill patternType="none"/>
    </fill>
    <fill>
      <patternFill patternType="gray125"/>
    </fill>
    <fill>
      <patternFill patternType="solid">
        <fgColor rgb="FFDEDEDE"/>
        <bgColor indexed="64"/>
      </patternFill>
    </fill>
    <fill>
      <patternFill patternType="solid">
        <fgColor rgb="FFFFFF00"/>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65"/>
        <bgColor indexed="64"/>
      </patternFill>
    </fill>
    <fill>
      <patternFill patternType="solid">
        <fgColor theme="9" tint="0.79998168889431442"/>
        <bgColor indexed="64"/>
      </patternFill>
    </fill>
  </fills>
  <borders count="19">
    <border>
      <left/>
      <right/>
      <top/>
      <bottom/>
      <diagonal/>
    </border>
    <border>
      <left/>
      <right/>
      <top/>
      <bottom style="hair">
        <color theme="0" tint="-0.24994659260841701"/>
      </bottom>
      <diagonal/>
    </border>
    <border>
      <left/>
      <right/>
      <top style="hair">
        <color theme="0" tint="-0.24994659260841701"/>
      </top>
      <bottom style="hair">
        <color theme="0" tint="-0.24994659260841701"/>
      </bottom>
      <diagonal/>
    </border>
    <border>
      <left style="hair">
        <color theme="0" tint="-0.24994659260841701"/>
      </left>
      <right style="hair">
        <color theme="0" tint="-0.24994659260841701"/>
      </right>
      <top/>
      <bottom style="hair">
        <color theme="0" tint="-0.24994659260841701"/>
      </bottom>
      <diagonal/>
    </border>
    <border>
      <left/>
      <right style="hair">
        <color theme="0" tint="-0.24994659260841701"/>
      </right>
      <top/>
      <bottom style="hair">
        <color theme="0" tint="-0.24994659260841701"/>
      </bottom>
      <diagonal/>
    </border>
    <border>
      <left style="hair">
        <color theme="0" tint="-0.24994659260841701"/>
      </left>
      <right/>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right/>
      <top style="hair">
        <color theme="0" tint="-0.24994659260841701"/>
      </top>
      <bottom/>
      <diagonal/>
    </border>
    <border>
      <left/>
      <right/>
      <top style="thin">
        <color indexed="64"/>
      </top>
      <bottom/>
      <diagonal/>
    </border>
    <border>
      <left/>
      <right/>
      <top/>
      <bottom style="hair">
        <color indexed="64"/>
      </bottom>
      <diagonal/>
    </border>
    <border>
      <left/>
      <right/>
      <top style="hair">
        <color auto="1"/>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theme="0" tint="-0.24994659260841701"/>
      </left>
      <right style="hair">
        <color theme="0" tint="-0.24994659260841701"/>
      </right>
      <top style="hair">
        <color theme="0" tint="-0.24994659260841701"/>
      </top>
      <bottom/>
      <diagonal/>
    </border>
    <border>
      <left/>
      <right/>
      <top/>
      <bottom style="double">
        <color auto="1"/>
      </bottom>
      <diagonal/>
    </border>
  </borders>
  <cellStyleXfs count="12">
    <xf numFmtId="0" fontId="0" fillId="0" borderId="0"/>
    <xf numFmtId="0" fontId="5" fillId="0" borderId="0"/>
    <xf numFmtId="0" fontId="16" fillId="0" borderId="0"/>
    <xf numFmtId="0" fontId="28" fillId="0" borderId="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0" fontId="4" fillId="0" borderId="0"/>
    <xf numFmtId="0" fontId="3" fillId="0" borderId="0"/>
    <xf numFmtId="0" fontId="2" fillId="0" borderId="0"/>
    <xf numFmtId="0" fontId="1" fillId="0" borderId="0"/>
    <xf numFmtId="0" fontId="1" fillId="0" borderId="0"/>
  </cellStyleXfs>
  <cellXfs count="244">
    <xf numFmtId="0" fontId="0" fillId="0" borderId="0" xfId="0"/>
    <xf numFmtId="0" fontId="6" fillId="0" borderId="0" xfId="0" applyFont="1" applyAlignment="1">
      <alignment horizontal="center"/>
    </xf>
    <xf numFmtId="0" fontId="13" fillId="0" borderId="0" xfId="0" applyFont="1"/>
    <xf numFmtId="0" fontId="13" fillId="0" borderId="0" xfId="0" applyFont="1" applyAlignment="1">
      <alignment horizontal="center"/>
    </xf>
    <xf numFmtId="49" fontId="6" fillId="2" borderId="0" xfId="2" applyNumberFormat="1" applyFont="1" applyFill="1" applyAlignment="1">
      <alignment horizontal="center" vertical="center"/>
    </xf>
    <xf numFmtId="165" fontId="6" fillId="2" borderId="0" xfId="2" applyNumberFormat="1" applyFont="1" applyFill="1" applyAlignment="1">
      <alignment horizontal="center" vertical="center"/>
    </xf>
    <xf numFmtId="0" fontId="6" fillId="0" borderId="0" xfId="2" applyFont="1" applyAlignment="1">
      <alignment vertical="center"/>
    </xf>
    <xf numFmtId="49" fontId="13" fillId="0" borderId="0" xfId="2" applyNumberFormat="1" applyFont="1" applyAlignment="1">
      <alignment horizontal="center" vertical="top"/>
    </xf>
    <xf numFmtId="165" fontId="13" fillId="0" borderId="0" xfId="2" applyNumberFormat="1" applyFont="1" applyAlignment="1">
      <alignment horizontal="center" vertical="top"/>
    </xf>
    <xf numFmtId="0" fontId="13" fillId="0" borderId="0" xfId="2" applyFont="1" applyAlignment="1">
      <alignment vertical="top"/>
    </xf>
    <xf numFmtId="49" fontId="13" fillId="0" borderId="0" xfId="2" applyNumberFormat="1" applyFont="1" applyAlignment="1">
      <alignment horizontal="center"/>
    </xf>
    <xf numFmtId="165" fontId="13" fillId="0" borderId="0" xfId="2" applyNumberFormat="1" applyFont="1" applyAlignment="1">
      <alignment horizontal="center"/>
    </xf>
    <xf numFmtId="0" fontId="13" fillId="0" borderId="0" xfId="2" applyFont="1"/>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6" fillId="3" borderId="0" xfId="0" applyFont="1" applyFill="1" applyAlignment="1">
      <alignment horizontal="center" vertical="center"/>
    </xf>
    <xf numFmtId="0" fontId="6" fillId="3" borderId="0" xfId="0" applyFont="1" applyFill="1" applyAlignment="1">
      <alignment horizontal="left" vertical="center"/>
    </xf>
    <xf numFmtId="0" fontId="6" fillId="3" borderId="0" xfId="0" applyFont="1" applyFill="1" applyAlignment="1">
      <alignment horizontal="right" vertical="center"/>
    </xf>
    <xf numFmtId="49" fontId="12" fillId="0" borderId="0" xfId="0" applyNumberFormat="1" applyFont="1" applyAlignment="1" applyProtection="1">
      <alignment horizontal="center"/>
      <protection locked="0"/>
    </xf>
    <xf numFmtId="49" fontId="13" fillId="0" borderId="0" xfId="0" applyNumberFormat="1" applyFont="1" applyAlignment="1">
      <alignment horizontal="center" vertical="top"/>
    </xf>
    <xf numFmtId="165" fontId="13" fillId="0" borderId="0" xfId="0" applyNumberFormat="1" applyFont="1" applyAlignment="1">
      <alignment horizontal="center" vertical="top"/>
    </xf>
    <xf numFmtId="0" fontId="6" fillId="0" borderId="0" xfId="0" applyFont="1" applyAlignment="1">
      <alignment horizontal="left" vertical="center" indent="1"/>
    </xf>
    <xf numFmtId="0" fontId="22" fillId="0" borderId="2" xfId="0" applyFont="1" applyBorder="1" applyAlignment="1">
      <alignment horizontal="left" vertical="center"/>
    </xf>
    <xf numFmtId="0" fontId="13" fillId="0" borderId="2" xfId="0" applyFont="1" applyBorder="1" applyAlignment="1">
      <alignment horizontal="left" vertical="center"/>
    </xf>
    <xf numFmtId="0" fontId="6" fillId="0" borderId="0" xfId="3" applyFont="1" applyAlignment="1">
      <alignment horizontal="center" vertical="center"/>
    </xf>
    <xf numFmtId="0" fontId="6" fillId="0" borderId="0" xfId="3" applyFont="1" applyAlignment="1">
      <alignment vertical="center"/>
    </xf>
    <xf numFmtId="0" fontId="13" fillId="0" borderId="0" xfId="3" applyFont="1" applyAlignment="1">
      <alignment horizontal="center"/>
    </xf>
    <xf numFmtId="0" fontId="13" fillId="0" borderId="0" xfId="3" applyFont="1"/>
    <xf numFmtId="49" fontId="13" fillId="0" borderId="0" xfId="3" applyNumberFormat="1" applyFont="1" applyAlignment="1">
      <alignment horizontal="left"/>
    </xf>
    <xf numFmtId="0" fontId="13" fillId="0" borderId="0" xfId="3" applyFont="1" applyAlignment="1">
      <alignment horizontal="left"/>
    </xf>
    <xf numFmtId="0" fontId="6" fillId="0" borderId="0" xfId="3" applyFont="1" applyAlignment="1">
      <alignment horizontal="center" vertical="center" wrapText="1"/>
    </xf>
    <xf numFmtId="0" fontId="6" fillId="0" borderId="0" xfId="3" applyFont="1" applyAlignment="1">
      <alignment horizontal="left" vertical="center" indent="1"/>
    </xf>
    <xf numFmtId="0" fontId="30" fillId="0" borderId="0" xfId="0" applyFont="1"/>
    <xf numFmtId="0" fontId="6" fillId="0" borderId="0" xfId="0" applyFont="1"/>
    <xf numFmtId="0" fontId="31" fillId="0" borderId="0" xfId="0" applyFont="1" applyAlignment="1">
      <alignment wrapText="1"/>
    </xf>
    <xf numFmtId="0" fontId="32" fillId="0" borderId="0" xfId="0" applyFont="1" applyAlignment="1">
      <alignment wrapText="1"/>
    </xf>
    <xf numFmtId="0" fontId="32" fillId="0" borderId="0" xfId="0" applyFont="1"/>
    <xf numFmtId="0" fontId="33" fillId="0" borderId="0" xfId="0" applyFont="1" applyAlignment="1">
      <alignment vertical="center"/>
    </xf>
    <xf numFmtId="0" fontId="7" fillId="0" borderId="0" xfId="0" applyFont="1" applyAlignment="1">
      <alignment horizontal="center" vertical="center" wrapText="1"/>
    </xf>
    <xf numFmtId="8" fontId="13" fillId="0" borderId="0" xfId="0" applyNumberFormat="1" applyFont="1" applyAlignment="1">
      <alignment vertical="center"/>
    </xf>
    <xf numFmtId="8" fontId="6" fillId="0" borderId="0" xfId="0" applyNumberFormat="1" applyFont="1" applyAlignment="1">
      <alignment horizontal="right" vertical="center"/>
    </xf>
    <xf numFmtId="0" fontId="30" fillId="0" borderId="0" xfId="0" applyFont="1" applyAlignment="1">
      <alignment horizontal="center"/>
    </xf>
    <xf numFmtId="0" fontId="8" fillId="0" borderId="0" xfId="0" applyFont="1" applyAlignment="1">
      <alignment horizontal="right" vertical="center" indent="1"/>
    </xf>
    <xf numFmtId="168" fontId="36" fillId="0" borderId="0" xfId="0" applyNumberFormat="1" applyFont="1" applyAlignment="1">
      <alignment vertical="center"/>
    </xf>
    <xf numFmtId="167" fontId="22" fillId="0" borderId="10" xfId="0" applyNumberFormat="1" applyFont="1" applyBorder="1" applyAlignment="1">
      <alignment horizontal="center" vertical="center"/>
    </xf>
    <xf numFmtId="1" fontId="22" fillId="0" borderId="10" xfId="0" applyNumberFormat="1" applyFont="1" applyBorder="1" applyAlignment="1">
      <alignment horizontal="center" vertical="center"/>
    </xf>
    <xf numFmtId="166" fontId="22" fillId="0" borderId="10" xfId="0" applyNumberFormat="1" applyFont="1" applyBorder="1" applyAlignment="1">
      <alignment vertical="center"/>
    </xf>
    <xf numFmtId="167" fontId="22" fillId="0" borderId="11" xfId="0" applyNumberFormat="1" applyFont="1" applyBorder="1" applyAlignment="1">
      <alignment horizontal="center" vertical="center"/>
    </xf>
    <xf numFmtId="165" fontId="22" fillId="0" borderId="11" xfId="0" applyNumberFormat="1" applyFont="1" applyBorder="1" applyAlignment="1" applyProtection="1">
      <alignment horizontal="center" vertical="center"/>
      <protection locked="0"/>
    </xf>
    <xf numFmtId="49" fontId="22" fillId="0" borderId="11" xfId="0" applyNumberFormat="1" applyFont="1" applyBorder="1" applyAlignment="1" applyProtection="1">
      <alignment horizontal="center" vertical="center"/>
      <protection locked="0"/>
    </xf>
    <xf numFmtId="8" fontId="22" fillId="0" borderId="11" xfId="0" applyNumberFormat="1" applyFont="1" applyBorder="1" applyAlignment="1">
      <alignment vertical="center"/>
    </xf>
    <xf numFmtId="0" fontId="35" fillId="0" borderId="10"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0" xfId="0" applyFont="1" applyBorder="1" applyAlignment="1">
      <alignment horizontal="right" vertical="center" wrapText="1"/>
    </xf>
    <xf numFmtId="4" fontId="12" fillId="0" borderId="0" xfId="0" applyNumberFormat="1" applyFont="1" applyAlignment="1">
      <alignment vertical="center"/>
    </xf>
    <xf numFmtId="0" fontId="12" fillId="0" borderId="3" xfId="0" applyFont="1" applyBorder="1" applyAlignment="1">
      <alignment vertical="center"/>
    </xf>
    <xf numFmtId="49" fontId="12" fillId="0" borderId="3" xfId="0" applyNumberFormat="1" applyFont="1" applyBorder="1" applyAlignment="1">
      <alignment vertical="center"/>
    </xf>
    <xf numFmtId="49" fontId="12" fillId="0" borderId="5" xfId="0" applyNumberFormat="1" applyFont="1" applyBorder="1" applyAlignment="1">
      <alignment vertical="center"/>
    </xf>
    <xf numFmtId="49" fontId="12" fillId="0" borderId="4" xfId="0" applyNumberFormat="1" applyFont="1" applyBorder="1" applyAlignment="1">
      <alignment vertical="center"/>
    </xf>
    <xf numFmtId="49" fontId="8" fillId="0" borderId="0" xfId="0" applyNumberFormat="1" applyFont="1" applyAlignment="1">
      <alignment horizontal="center" vertical="center"/>
    </xf>
    <xf numFmtId="0" fontId="12" fillId="0" borderId="0" xfId="0" applyFont="1" applyAlignment="1">
      <alignment horizontal="right" vertical="center" indent="1"/>
    </xf>
    <xf numFmtId="0" fontId="12" fillId="0" borderId="0" xfId="0" applyFont="1" applyAlignment="1">
      <alignment horizontal="left" vertical="center" wrapText="1"/>
    </xf>
    <xf numFmtId="0" fontId="12" fillId="0" borderId="0" xfId="0" applyFont="1" applyAlignment="1">
      <alignment vertical="center"/>
    </xf>
    <xf numFmtId="0" fontId="11" fillId="0" borderId="0" xfId="0" applyFont="1" applyAlignment="1">
      <alignment vertical="center"/>
    </xf>
    <xf numFmtId="0" fontId="9" fillId="0" borderId="0" xfId="0" applyFont="1"/>
    <xf numFmtId="0" fontId="8" fillId="0" borderId="0" xfId="0" applyFont="1" applyAlignment="1">
      <alignment vertical="center"/>
    </xf>
    <xf numFmtId="166" fontId="22" fillId="0" borderId="6" xfId="0" applyNumberFormat="1" applyFont="1" applyBorder="1" applyAlignment="1">
      <alignment horizontal="right" vertical="center" indent="1"/>
    </xf>
    <xf numFmtId="0" fontId="22" fillId="0" borderId="0" xfId="0" applyFont="1" applyAlignment="1">
      <alignment vertical="center"/>
    </xf>
    <xf numFmtId="8" fontId="8" fillId="0" borderId="0" xfId="1" applyNumberFormat="1" applyFont="1" applyAlignment="1">
      <alignment horizontal="right" vertical="center" indent="1"/>
    </xf>
    <xf numFmtId="0" fontId="8" fillId="0" borderId="8" xfId="1" applyFont="1" applyBorder="1" applyAlignment="1">
      <alignment horizontal="center" vertical="center"/>
    </xf>
    <xf numFmtId="0" fontId="7" fillId="0" borderId="8" xfId="0" quotePrefix="1" applyFont="1" applyBorder="1" applyAlignment="1">
      <alignment horizontal="center"/>
    </xf>
    <xf numFmtId="0" fontId="33" fillId="0" borderId="0" xfId="0" applyFont="1" applyAlignment="1">
      <alignment horizontal="left" vertical="center"/>
    </xf>
    <xf numFmtId="8" fontId="13" fillId="0" borderId="0" xfId="0" applyNumberFormat="1" applyFont="1" applyAlignment="1">
      <alignment horizontal="center"/>
    </xf>
    <xf numFmtId="168" fontId="6" fillId="0" borderId="0" xfId="0" applyNumberFormat="1" applyFont="1" applyAlignment="1">
      <alignment horizontal="right" vertical="center"/>
    </xf>
    <xf numFmtId="8" fontId="40" fillId="0" borderId="11" xfId="0" applyNumberFormat="1" applyFont="1" applyBorder="1" applyAlignment="1" applyProtection="1">
      <alignment horizontal="right" vertical="center"/>
      <protection locked="0"/>
    </xf>
    <xf numFmtId="8" fontId="38" fillId="0" borderId="0" xfId="0" applyNumberFormat="1" applyFont="1" applyAlignment="1">
      <alignment horizontal="right" vertical="center"/>
    </xf>
    <xf numFmtId="0" fontId="32" fillId="0" borderId="0" xfId="0" applyFont="1" applyAlignment="1">
      <alignment horizontal="center"/>
    </xf>
    <xf numFmtId="0" fontId="33" fillId="0" borderId="0" xfId="0" applyFont="1" applyAlignment="1">
      <alignment horizontal="center" vertical="center"/>
    </xf>
    <xf numFmtId="0" fontId="13" fillId="0" borderId="0" xfId="0" applyFont="1" applyAlignment="1">
      <alignment horizontal="center" vertical="center"/>
    </xf>
    <xf numFmtId="0" fontId="24" fillId="0" borderId="0" xfId="0" applyFont="1" applyAlignment="1">
      <alignment vertical="center" wrapText="1"/>
    </xf>
    <xf numFmtId="49" fontId="6" fillId="2" borderId="0" xfId="2" applyNumberFormat="1" applyFont="1" applyFill="1" applyAlignment="1">
      <alignment vertical="center" wrapText="1"/>
    </xf>
    <xf numFmtId="49" fontId="13" fillId="0" borderId="0" xfId="0" applyNumberFormat="1" applyFont="1" applyAlignment="1">
      <alignment vertical="top" wrapText="1"/>
    </xf>
    <xf numFmtId="49" fontId="13" fillId="0" borderId="0" xfId="2" applyNumberFormat="1" applyFont="1" applyAlignment="1">
      <alignment vertical="top" wrapText="1"/>
    </xf>
    <xf numFmtId="49" fontId="20" fillId="0" borderId="0" xfId="0" applyNumberFormat="1" applyFont="1" applyAlignment="1">
      <alignment vertical="top" wrapText="1"/>
    </xf>
    <xf numFmtId="49" fontId="26" fillId="0" borderId="0" xfId="0" applyNumberFormat="1" applyFont="1" applyAlignment="1">
      <alignment wrapText="1"/>
    </xf>
    <xf numFmtId="49" fontId="20" fillId="0" borderId="0" xfId="0" applyNumberFormat="1" applyFont="1" applyAlignment="1">
      <alignment wrapText="1"/>
    </xf>
    <xf numFmtId="49" fontId="13" fillId="0" borderId="0" xfId="2" quotePrefix="1" applyNumberFormat="1" applyFont="1" applyAlignment="1">
      <alignment vertical="top" wrapText="1"/>
    </xf>
    <xf numFmtId="49" fontId="13" fillId="0" borderId="0" xfId="2" quotePrefix="1" applyNumberFormat="1" applyFont="1" applyAlignment="1">
      <alignment vertical="top"/>
    </xf>
    <xf numFmtId="49" fontId="13" fillId="0" borderId="0" xfId="2" quotePrefix="1" applyNumberFormat="1" applyFont="1" applyAlignment="1">
      <alignment wrapText="1"/>
    </xf>
    <xf numFmtId="49" fontId="13" fillId="0" borderId="0" xfId="2" applyNumberFormat="1" applyFont="1" applyAlignment="1">
      <alignment wrapText="1"/>
    </xf>
    <xf numFmtId="49" fontId="6" fillId="2" borderId="0" xfId="2" applyNumberFormat="1" applyFont="1" applyFill="1" applyAlignment="1">
      <alignment horizontal="left" vertical="center" wrapText="1" indent="1"/>
    </xf>
    <xf numFmtId="0" fontId="13" fillId="0" borderId="0" xfId="2" applyFont="1" applyAlignment="1">
      <alignment horizontal="left" vertical="top" indent="1"/>
    </xf>
    <xf numFmtId="0" fontId="13" fillId="0" borderId="0" xfId="2" applyFont="1" applyAlignment="1">
      <alignment horizontal="left" indent="1"/>
    </xf>
    <xf numFmtId="49" fontId="6" fillId="0" borderId="0" xfId="2" applyNumberFormat="1" applyFont="1" applyAlignment="1">
      <alignment wrapText="1"/>
    </xf>
    <xf numFmtId="0" fontId="32" fillId="0" borderId="0" xfId="0" applyFont="1" applyAlignment="1">
      <alignment horizontal="left"/>
    </xf>
    <xf numFmtId="0" fontId="7" fillId="0" borderId="0" xfId="0" applyFont="1" applyAlignment="1">
      <alignment vertical="center" wrapText="1"/>
    </xf>
    <xf numFmtId="168" fontId="33" fillId="0" borderId="0" xfId="0" applyNumberFormat="1" applyFont="1" applyAlignment="1">
      <alignment vertical="center"/>
    </xf>
    <xf numFmtId="166" fontId="22" fillId="0" borderId="0" xfId="0" applyNumberFormat="1" applyFont="1" applyAlignment="1">
      <alignment horizontal="right" vertical="center"/>
    </xf>
    <xf numFmtId="165" fontId="22" fillId="5" borderId="0" xfId="0" applyNumberFormat="1" applyFont="1" applyFill="1" applyAlignment="1" applyProtection="1">
      <alignment horizontal="left" vertical="center"/>
      <protection locked="0"/>
    </xf>
    <xf numFmtId="165" fontId="22" fillId="5" borderId="0" xfId="0" applyNumberFormat="1" applyFont="1" applyFill="1" applyAlignment="1" applyProtection="1">
      <alignment vertical="center"/>
      <protection locked="0"/>
    </xf>
    <xf numFmtId="168" fontId="22" fillId="5" borderId="0" xfId="0" applyNumberFormat="1" applyFont="1" applyFill="1" applyAlignment="1" applyProtection="1">
      <alignment vertical="center"/>
      <protection locked="0"/>
    </xf>
    <xf numFmtId="0" fontId="13" fillId="0" borderId="0" xfId="0" applyFont="1" applyAlignment="1">
      <alignment horizontal="left" indent="1"/>
    </xf>
    <xf numFmtId="0" fontId="6" fillId="0" borderId="0" xfId="0" applyFont="1" applyAlignment="1">
      <alignment horizontal="center" vertical="center" wrapText="1"/>
    </xf>
    <xf numFmtId="164" fontId="13" fillId="0" borderId="0" xfId="0" applyNumberFormat="1" applyFont="1" applyAlignment="1">
      <alignment horizontal="center"/>
    </xf>
    <xf numFmtId="49" fontId="13" fillId="0" borderId="0" xfId="2" applyNumberFormat="1" applyFont="1" applyAlignment="1">
      <alignment horizontal="center" vertical="center"/>
    </xf>
    <xf numFmtId="165" fontId="13" fillId="0" borderId="0" xfId="2" applyNumberFormat="1" applyFont="1" applyAlignment="1">
      <alignment horizontal="center" vertical="center"/>
    </xf>
    <xf numFmtId="0" fontId="13" fillId="0" borderId="0" xfId="0" applyFont="1" applyAlignment="1">
      <alignment horizontal="left"/>
    </xf>
    <xf numFmtId="0" fontId="42" fillId="0" borderId="0" xfId="0" applyFont="1" applyAlignment="1">
      <alignment horizontal="center" vertical="center" wrapText="1"/>
    </xf>
    <xf numFmtId="9" fontId="13" fillId="0" borderId="0" xfId="3" applyNumberFormat="1" applyFont="1" applyAlignment="1">
      <alignment horizontal="center"/>
    </xf>
    <xf numFmtId="9" fontId="13" fillId="0" borderId="0" xfId="3" applyNumberFormat="1" applyFont="1"/>
    <xf numFmtId="8" fontId="6" fillId="0" borderId="0" xfId="0" applyNumberFormat="1" applyFont="1" applyAlignment="1">
      <alignment vertical="center"/>
    </xf>
    <xf numFmtId="0" fontId="13" fillId="0" borderId="0" xfId="0" applyFont="1" applyAlignment="1">
      <alignment vertical="center"/>
    </xf>
    <xf numFmtId="0" fontId="39" fillId="0" borderId="10" xfId="0" applyFont="1" applyBorder="1" applyAlignment="1">
      <alignment horizontal="center" vertical="center" wrapText="1"/>
    </xf>
    <xf numFmtId="0" fontId="13" fillId="0" borderId="0" xfId="0" applyFont="1" applyAlignment="1" applyProtection="1">
      <alignment horizontal="center" vertical="center"/>
      <protection locked="0"/>
    </xf>
    <xf numFmtId="1" fontId="13" fillId="0" borderId="0" xfId="0" applyNumberFormat="1" applyFont="1" applyAlignment="1" applyProtection="1">
      <alignment horizontal="center" vertical="center"/>
      <protection locked="0"/>
    </xf>
    <xf numFmtId="8" fontId="13" fillId="0" borderId="0" xfId="0" applyNumberFormat="1" applyFont="1" applyAlignment="1" applyProtection="1">
      <alignment horizontal="center" vertical="center"/>
      <protection locked="0"/>
    </xf>
    <xf numFmtId="0" fontId="13" fillId="0" borderId="0" xfId="0" applyFont="1" applyProtection="1">
      <protection locked="0"/>
    </xf>
    <xf numFmtId="0" fontId="8" fillId="0" borderId="0" xfId="0" applyFont="1" applyAlignment="1">
      <alignment horizontal="right" vertical="center"/>
    </xf>
    <xf numFmtId="1" fontId="13" fillId="0" borderId="0" xfId="0" applyNumberFormat="1" applyFont="1"/>
    <xf numFmtId="1" fontId="13" fillId="0" borderId="0" xfId="0" applyNumberFormat="1" applyFont="1" applyAlignment="1">
      <alignment horizontal="center" vertical="center"/>
    </xf>
    <xf numFmtId="2" fontId="13" fillId="0" borderId="0" xfId="0" applyNumberFormat="1" applyFont="1"/>
    <xf numFmtId="49" fontId="8" fillId="0" borderId="8" xfId="0" applyNumberFormat="1" applyFont="1" applyBorder="1" applyAlignment="1">
      <alignment horizontal="center" vertical="center"/>
    </xf>
    <xf numFmtId="0" fontId="12" fillId="0" borderId="5" xfId="0" applyFont="1" applyBorder="1" applyAlignment="1">
      <alignment horizontal="center" vertical="center"/>
    </xf>
    <xf numFmtId="0" fontId="12" fillId="0" borderId="4" xfId="0" applyFont="1" applyBorder="1" applyAlignment="1">
      <alignment horizontal="center" vertical="center"/>
    </xf>
    <xf numFmtId="0" fontId="13" fillId="0" borderId="0" xfId="2" applyFont="1" applyAlignment="1">
      <alignment horizontal="center" vertical="top"/>
    </xf>
    <xf numFmtId="0" fontId="13" fillId="0" borderId="0" xfId="2" applyFont="1" applyAlignment="1">
      <alignment horizontal="center"/>
    </xf>
    <xf numFmtId="0" fontId="0" fillId="0" borderId="0" xfId="0" applyAlignment="1">
      <alignment horizontal="center"/>
    </xf>
    <xf numFmtId="0" fontId="13" fillId="0" borderId="0" xfId="2" applyFont="1" applyAlignment="1">
      <alignment horizontal="center" vertical="center"/>
    </xf>
    <xf numFmtId="0" fontId="21" fillId="0" borderId="0" xfId="0" applyFont="1" applyAlignment="1">
      <alignment vertical="center"/>
    </xf>
    <xf numFmtId="0" fontId="10" fillId="0" borderId="0" xfId="0" applyFont="1" applyAlignment="1">
      <alignment vertical="center"/>
    </xf>
    <xf numFmtId="0" fontId="11" fillId="0" borderId="0" xfId="0" applyFont="1" applyAlignment="1">
      <alignment horizontal="right" vertical="center" indent="1"/>
    </xf>
    <xf numFmtId="0" fontId="7" fillId="0" borderId="0" xfId="0" applyFont="1" applyAlignment="1">
      <alignment vertical="center"/>
    </xf>
    <xf numFmtId="0" fontId="12" fillId="0" borderId="0" xfId="0" applyFont="1" applyAlignment="1">
      <alignment horizontal="right" vertical="center" wrapText="1" indent="1"/>
    </xf>
    <xf numFmtId="0" fontId="8" fillId="0" borderId="1" xfId="0" applyFont="1" applyBorder="1" applyAlignment="1">
      <alignment horizontal="left" vertical="center"/>
    </xf>
    <xf numFmtId="4" fontId="12" fillId="0" borderId="0" xfId="0" applyNumberFormat="1" applyFont="1" applyAlignment="1">
      <alignment horizontal="right" indent="1"/>
    </xf>
    <xf numFmtId="0" fontId="20" fillId="0" borderId="0" xfId="0" applyFont="1" applyAlignment="1">
      <alignment vertical="center"/>
    </xf>
    <xf numFmtId="164" fontId="20" fillId="0" borderId="0" xfId="0" applyNumberFormat="1" applyFont="1" applyAlignment="1">
      <alignment vertical="center"/>
    </xf>
    <xf numFmtId="164" fontId="13" fillId="0" borderId="0" xfId="0" applyNumberFormat="1" applyFont="1" applyAlignment="1">
      <alignment vertical="center"/>
    </xf>
    <xf numFmtId="169" fontId="13" fillId="0" borderId="0" xfId="0" applyNumberFormat="1" applyFont="1" applyAlignment="1">
      <alignment horizontal="center"/>
    </xf>
    <xf numFmtId="0" fontId="13" fillId="3" borderId="0" xfId="0" applyFont="1" applyFill="1"/>
    <xf numFmtId="0" fontId="24" fillId="0" borderId="0" xfId="0" applyFont="1" applyAlignment="1">
      <alignment horizontal="center" vertical="center" wrapText="1"/>
    </xf>
    <xf numFmtId="164" fontId="6" fillId="0" borderId="0" xfId="0" applyNumberFormat="1" applyFont="1" applyAlignment="1">
      <alignment horizontal="center"/>
    </xf>
    <xf numFmtId="169" fontId="6" fillId="0" borderId="0" xfId="0" applyNumberFormat="1" applyFont="1" applyAlignment="1">
      <alignment horizontal="center"/>
    </xf>
    <xf numFmtId="0" fontId="22" fillId="6" borderId="15" xfId="2" applyFont="1" applyFill="1" applyBorder="1" applyAlignment="1" applyProtection="1">
      <alignment vertical="center"/>
      <protection hidden="1"/>
    </xf>
    <xf numFmtId="0" fontId="22" fillId="6" borderId="14" xfId="2" applyFont="1" applyFill="1" applyBorder="1" applyAlignment="1" applyProtection="1">
      <alignment horizontal="center" vertical="center"/>
      <protection hidden="1"/>
    </xf>
    <xf numFmtId="0" fontId="41" fillId="0" borderId="0" xfId="0" applyFont="1" applyAlignment="1" applyProtection="1">
      <alignment horizontal="center" vertical="center"/>
      <protection locked="0"/>
    </xf>
    <xf numFmtId="0" fontId="22" fillId="0" borderId="0" xfId="0" applyFont="1" applyAlignment="1">
      <alignment horizontal="center" vertical="center"/>
    </xf>
    <xf numFmtId="0" fontId="24" fillId="0" borderId="0" xfId="2" applyFont="1" applyAlignment="1" applyProtection="1">
      <alignment horizontal="center" vertical="center" wrapText="1"/>
      <protection hidden="1"/>
    </xf>
    <xf numFmtId="0" fontId="22" fillId="6" borderId="0" xfId="2" applyFont="1" applyFill="1" applyAlignment="1" applyProtection="1">
      <alignment vertical="center"/>
      <protection hidden="1"/>
    </xf>
    <xf numFmtId="1" fontId="22" fillId="0" borderId="0" xfId="0" applyNumberFormat="1" applyFont="1" applyAlignment="1">
      <alignment horizontal="center" vertical="center"/>
    </xf>
    <xf numFmtId="1" fontId="22" fillId="0" borderId="0" xfId="0" applyNumberFormat="1" applyFont="1" applyAlignment="1">
      <alignment vertical="center"/>
    </xf>
    <xf numFmtId="0" fontId="1" fillId="0" borderId="0" xfId="10"/>
    <xf numFmtId="0" fontId="6" fillId="0" borderId="0" xfId="11" applyFont="1" applyAlignment="1">
      <alignment horizontal="right" vertical="center" indent="1"/>
    </xf>
    <xf numFmtId="14" fontId="6" fillId="5" borderId="10" xfId="11" applyNumberFormat="1" applyFont="1" applyFill="1" applyBorder="1" applyAlignment="1" applyProtection="1">
      <alignment vertical="center"/>
      <protection locked="0"/>
    </xf>
    <xf numFmtId="168" fontId="22" fillId="0" borderId="0" xfId="0" applyNumberFormat="1" applyFont="1" applyAlignment="1">
      <alignment vertical="center"/>
    </xf>
    <xf numFmtId="171" fontId="22" fillId="5" borderId="0" xfId="0" applyNumberFormat="1" applyFont="1" applyFill="1" applyProtection="1">
      <protection locked="0"/>
    </xf>
    <xf numFmtId="0" fontId="36" fillId="0" borderId="0" xfId="0" applyFont="1" applyAlignment="1">
      <alignment horizontal="right" vertical="center" indent="1"/>
    </xf>
    <xf numFmtId="0" fontId="13" fillId="0" borderId="16" xfId="0" applyFont="1" applyBorder="1" applyAlignment="1" applyProtection="1">
      <alignment horizontal="center" vertical="center"/>
      <protection locked="0"/>
    </xf>
    <xf numFmtId="168" fontId="22" fillId="7" borderId="10" xfId="0" applyNumberFormat="1" applyFont="1" applyFill="1" applyBorder="1" applyAlignment="1" applyProtection="1">
      <alignment horizontal="right" vertical="center"/>
      <protection locked="0"/>
    </xf>
    <xf numFmtId="0" fontId="44" fillId="0" borderId="0" xfId="11" applyFont="1"/>
    <xf numFmtId="0" fontId="22" fillId="0" borderId="0" xfId="0" applyFont="1"/>
    <xf numFmtId="0" fontId="8" fillId="0" borderId="0" xfId="11" applyFont="1"/>
    <xf numFmtId="0" fontId="44" fillId="0" borderId="0" xfId="11" applyFont="1" applyAlignment="1">
      <alignment vertical="center"/>
    </xf>
    <xf numFmtId="0" fontId="45" fillId="0" borderId="0" xfId="0" applyFont="1" applyAlignment="1">
      <alignment vertical="center"/>
    </xf>
    <xf numFmtId="0" fontId="43" fillId="0" borderId="0" xfId="0" applyFont="1" applyAlignment="1">
      <alignment vertical="center"/>
    </xf>
    <xf numFmtId="8" fontId="33" fillId="0" borderId="18" xfId="0" applyNumberFormat="1" applyFont="1" applyBorder="1" applyAlignment="1">
      <alignment vertical="center"/>
    </xf>
    <xf numFmtId="0" fontId="8" fillId="0" borderId="0" xfId="0" applyFont="1"/>
    <xf numFmtId="0" fontId="46" fillId="0" borderId="0" xfId="11" applyFont="1"/>
    <xf numFmtId="0" fontId="47" fillId="0" borderId="0" xfId="0" applyFont="1"/>
    <xf numFmtId="0" fontId="47" fillId="0" borderId="0" xfId="0" applyFont="1" applyAlignment="1">
      <alignment horizontal="center"/>
    </xf>
    <xf numFmtId="0" fontId="47" fillId="0" borderId="0" xfId="0" applyFont="1" applyAlignment="1">
      <alignment horizontal="right"/>
    </xf>
    <xf numFmtId="8" fontId="22" fillId="0" borderId="0" xfId="0" applyNumberFormat="1" applyFont="1" applyAlignment="1">
      <alignment horizontal="right" vertical="center"/>
    </xf>
    <xf numFmtId="8" fontId="22" fillId="0" borderId="0" xfId="0" applyNumberFormat="1" applyFont="1" applyAlignment="1">
      <alignment vertical="center"/>
    </xf>
    <xf numFmtId="8" fontId="8" fillId="0" borderId="0" xfId="0" applyNumberFormat="1" applyFont="1" applyAlignment="1">
      <alignment vertical="center"/>
    </xf>
    <xf numFmtId="0" fontId="48" fillId="0" borderId="0" xfId="11" applyFont="1" applyAlignment="1">
      <alignment vertical="center"/>
    </xf>
    <xf numFmtId="0" fontId="49" fillId="0" borderId="0" xfId="0" applyFont="1" applyAlignment="1">
      <alignment vertical="center"/>
    </xf>
    <xf numFmtId="8" fontId="49" fillId="0" borderId="18" xfId="0" applyNumberFormat="1" applyFont="1" applyBorder="1" applyAlignment="1">
      <alignment horizontal="right" vertical="center"/>
    </xf>
    <xf numFmtId="0" fontId="43" fillId="0" borderId="0" xfId="0" applyFont="1" applyAlignment="1">
      <alignment horizontal="right" vertical="center"/>
    </xf>
    <xf numFmtId="0" fontId="22" fillId="5" borderId="0" xfId="0" applyFont="1" applyFill="1" applyAlignment="1" applyProtection="1">
      <alignment horizontal="center" vertical="center"/>
      <protection locked="0"/>
    </xf>
    <xf numFmtId="0" fontId="22" fillId="5" borderId="0" xfId="0" applyFont="1" applyFill="1" applyAlignment="1" applyProtection="1">
      <alignment vertical="center"/>
      <protection locked="0"/>
    </xf>
    <xf numFmtId="0" fontId="22" fillId="5" borderId="0" xfId="0" applyFont="1" applyFill="1" applyAlignment="1" applyProtection="1">
      <alignment horizontal="right" vertical="center"/>
      <protection locked="0"/>
    </xf>
    <xf numFmtId="8" fontId="8" fillId="5" borderId="0" xfId="0" applyNumberFormat="1" applyFont="1" applyFill="1" applyAlignment="1" applyProtection="1">
      <alignment vertical="center"/>
      <protection locked="0"/>
    </xf>
    <xf numFmtId="9" fontId="22" fillId="8" borderId="17" xfId="0" applyNumberFormat="1" applyFont="1" applyFill="1" applyBorder="1" applyAlignment="1">
      <alignment horizontal="center" vertical="center"/>
    </xf>
    <xf numFmtId="0" fontId="12" fillId="0" borderId="0" xfId="0" applyNumberFormat="1" applyFont="1" applyBorder="1" applyAlignment="1" applyProtection="1">
      <alignment horizontal="center"/>
    </xf>
    <xf numFmtId="49" fontId="12" fillId="0" borderId="0" xfId="0" applyNumberFormat="1" applyFont="1" applyBorder="1" applyAlignment="1" applyProtection="1">
      <alignment vertical="center"/>
    </xf>
    <xf numFmtId="0" fontId="12" fillId="0" borderId="0" xfId="0" applyFont="1" applyBorder="1" applyAlignment="1" applyProtection="1">
      <alignment horizontal="left" vertical="center" wrapText="1"/>
    </xf>
    <xf numFmtId="0" fontId="12" fillId="0" borderId="0" xfId="0" applyNumberFormat="1" applyFont="1" applyAlignment="1" applyProtection="1">
      <alignment horizontal="center"/>
    </xf>
    <xf numFmtId="0" fontId="12" fillId="0" borderId="3" xfId="0" applyFont="1" applyBorder="1" applyAlignment="1" applyProtection="1">
      <alignment vertical="center"/>
    </xf>
    <xf numFmtId="49" fontId="12" fillId="0" borderId="3" xfId="0" applyNumberFormat="1" applyFont="1" applyBorder="1" applyAlignment="1" applyProtection="1">
      <alignment vertical="center"/>
    </xf>
    <xf numFmtId="49" fontId="12" fillId="0" borderId="5" xfId="0" applyNumberFormat="1" applyFont="1" applyBorder="1" applyAlignment="1" applyProtection="1">
      <alignment vertical="center"/>
    </xf>
    <xf numFmtId="49" fontId="12" fillId="0" borderId="4" xfId="0" applyNumberFormat="1" applyFont="1" applyBorder="1" applyAlignment="1" applyProtection="1">
      <alignment vertical="center"/>
    </xf>
    <xf numFmtId="49" fontId="12" fillId="0" borderId="1" xfId="0" applyNumberFormat="1" applyFont="1" applyBorder="1" applyAlignment="1" applyProtection="1">
      <alignment vertical="center"/>
    </xf>
    <xf numFmtId="0" fontId="26" fillId="0" borderId="0" xfId="3" applyFont="1" applyAlignment="1">
      <alignment horizontal="center" vertical="center" wrapText="1"/>
    </xf>
    <xf numFmtId="8" fontId="13" fillId="0" borderId="16" xfId="0" applyNumberFormat="1" applyFont="1" applyBorder="1" applyAlignment="1" applyProtection="1">
      <alignment horizontal="left" vertical="center"/>
      <protection locked="0"/>
    </xf>
    <xf numFmtId="0" fontId="22" fillId="0" borderId="11" xfId="0" applyFont="1" applyBorder="1" applyAlignment="1" applyProtection="1">
      <alignment horizontal="left" vertical="center"/>
      <protection locked="0"/>
    </xf>
    <xf numFmtId="0" fontId="33" fillId="0" borderId="0" xfId="0" applyFont="1" applyAlignment="1">
      <alignment horizontal="center" vertical="center"/>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24" fillId="0" borderId="0" xfId="0" applyFont="1" applyAlignment="1">
      <alignment horizontal="center" vertical="center" wrapText="1"/>
    </xf>
    <xf numFmtId="0" fontId="8" fillId="0" borderId="0" xfId="0" applyFont="1" applyAlignment="1">
      <alignment horizontal="left" vertical="center" wrapText="1"/>
    </xf>
    <xf numFmtId="0" fontId="10" fillId="0" borderId="0" xfId="0" applyFont="1" applyAlignment="1">
      <alignment horizontal="left" vertical="center"/>
    </xf>
    <xf numFmtId="0" fontId="21" fillId="0" borderId="0" xfId="0" applyFont="1" applyAlignment="1">
      <alignment horizontal="right" vertical="center"/>
    </xf>
    <xf numFmtId="0" fontId="22" fillId="0" borderId="0" xfId="0" applyFont="1" applyAlignment="1" applyProtection="1">
      <alignment horizontal="right" vertical="center"/>
      <protection hidden="1"/>
    </xf>
    <xf numFmtId="164" fontId="23" fillId="4" borderId="0" xfId="0" applyNumberFormat="1" applyFont="1" applyFill="1" applyAlignment="1" applyProtection="1">
      <alignment horizontal="center" vertical="center"/>
      <protection locked="0"/>
    </xf>
    <xf numFmtId="0" fontId="22" fillId="5" borderId="0" xfId="0" applyFont="1" applyFill="1" applyAlignment="1" applyProtection="1">
      <alignment horizontal="left"/>
      <protection locked="0"/>
    </xf>
    <xf numFmtId="0" fontId="6" fillId="0" borderId="0" xfId="0" applyFont="1" applyAlignment="1">
      <alignment horizontal="center" vertical="center" wrapText="1"/>
    </xf>
    <xf numFmtId="0" fontId="32" fillId="0" borderId="0" xfId="0" applyFont="1" applyAlignment="1">
      <alignment horizontal="center"/>
    </xf>
    <xf numFmtId="0" fontId="13" fillId="0" borderId="0" xfId="0" applyFont="1" applyAlignment="1">
      <alignment horizontal="center" vertical="center"/>
    </xf>
    <xf numFmtId="0" fontId="37" fillId="0" borderId="0" xfId="0" applyFont="1" applyAlignment="1">
      <alignment horizontal="center" vertical="center"/>
    </xf>
    <xf numFmtId="0" fontId="13" fillId="0" borderId="0" xfId="0" applyFont="1" applyAlignment="1">
      <alignment horizontal="center" vertical="top"/>
    </xf>
    <xf numFmtId="0" fontId="7" fillId="0" borderId="0" xfId="0" applyFont="1" applyAlignment="1">
      <alignment horizontal="left" vertical="center" wrapText="1"/>
    </xf>
    <xf numFmtId="0" fontId="12" fillId="0" borderId="10" xfId="0" applyFont="1" applyBorder="1" applyAlignment="1">
      <alignment horizontal="left" vertical="center" wrapText="1"/>
    </xf>
    <xf numFmtId="0" fontId="8" fillId="0" borderId="0" xfId="11" applyFont="1" applyAlignment="1">
      <alignment horizontal="left" vertical="center" wrapText="1"/>
    </xf>
    <xf numFmtId="0" fontId="8" fillId="0" borderId="0" xfId="0" applyFont="1" applyAlignment="1">
      <alignment horizontal="right"/>
    </xf>
    <xf numFmtId="0" fontId="22" fillId="0" borderId="0" xfId="0" applyFont="1" applyAlignment="1">
      <alignment horizontal="right" vertical="center"/>
    </xf>
    <xf numFmtId="0" fontId="12" fillId="0" borderId="2" xfId="0" applyFont="1" applyBorder="1" applyAlignment="1" applyProtection="1">
      <alignment horizontal="left" vertical="center"/>
      <protection locked="0"/>
    </xf>
    <xf numFmtId="49" fontId="12" fillId="0" borderId="8" xfId="0" applyNumberFormat="1" applyFont="1" applyBorder="1" applyAlignment="1" applyProtection="1">
      <alignment horizontal="center"/>
      <protection locked="0"/>
    </xf>
    <xf numFmtId="0" fontId="8" fillId="0" borderId="0" xfId="0" applyFont="1" applyAlignment="1">
      <alignment horizontal="center" vertical="center" wrapText="1"/>
    </xf>
    <xf numFmtId="0" fontId="14" fillId="0" borderId="0" xfId="0" applyFont="1" applyAlignment="1">
      <alignment horizontal="center" vertical="center"/>
    </xf>
    <xf numFmtId="0" fontId="8" fillId="0" borderId="1" xfId="0" applyFont="1" applyBorder="1" applyAlignment="1">
      <alignment horizontal="left" vertical="center"/>
    </xf>
    <xf numFmtId="0" fontId="8" fillId="0" borderId="1" xfId="0" applyFont="1" applyBorder="1" applyAlignment="1" applyProtection="1">
      <alignment horizontal="left" vertical="center"/>
      <protection locked="0"/>
    </xf>
    <xf numFmtId="0" fontId="24" fillId="0" borderId="12" xfId="2" applyFont="1" applyBorder="1" applyAlignment="1" applyProtection="1">
      <alignment horizontal="center" vertical="center" wrapText="1"/>
      <protection hidden="1"/>
    </xf>
    <xf numFmtId="0" fontId="24" fillId="0" borderId="13" xfId="2" applyFont="1" applyBorder="1" applyAlignment="1" applyProtection="1">
      <alignment horizontal="center" vertical="center" wrapText="1"/>
      <protection hidden="1"/>
    </xf>
    <xf numFmtId="1" fontId="22" fillId="0" borderId="7" xfId="0" applyNumberFormat="1" applyFont="1" applyBorder="1" applyAlignment="1">
      <alignment horizontal="center" vertical="center"/>
    </xf>
    <xf numFmtId="1" fontId="22" fillId="0" borderId="6" xfId="0" applyNumberFormat="1" applyFont="1" applyBorder="1" applyAlignment="1">
      <alignment horizontal="center" vertical="center"/>
    </xf>
    <xf numFmtId="1" fontId="22" fillId="0" borderId="2" xfId="0" applyNumberFormat="1" applyFont="1" applyBorder="1" applyAlignment="1">
      <alignment horizontal="center" vertical="center"/>
    </xf>
    <xf numFmtId="1" fontId="22" fillId="0" borderId="2" xfId="0" applyNumberFormat="1" applyFont="1" applyBorder="1" applyAlignment="1">
      <alignment horizontal="left" vertical="center"/>
    </xf>
    <xf numFmtId="0" fontId="12" fillId="0" borderId="3" xfId="0" applyFont="1" applyBorder="1" applyAlignment="1">
      <alignment horizontal="center" vertical="center"/>
    </xf>
    <xf numFmtId="0" fontId="12" fillId="0" borderId="4" xfId="0" applyFont="1" applyBorder="1" applyAlignment="1">
      <alignment horizontal="left" vertical="center" indent="2"/>
    </xf>
    <xf numFmtId="0" fontId="12" fillId="0" borderId="3" xfId="0" applyFont="1" applyBorder="1" applyAlignment="1">
      <alignment horizontal="left" vertical="center" indent="2"/>
    </xf>
    <xf numFmtId="0" fontId="12" fillId="0" borderId="4" xfId="0" applyFont="1" applyBorder="1" applyAlignment="1">
      <alignment horizontal="left" vertical="center"/>
    </xf>
    <xf numFmtId="0" fontId="12" fillId="0" borderId="3" xfId="0" applyFont="1" applyBorder="1" applyAlignment="1">
      <alignment horizontal="left" vertical="center"/>
    </xf>
    <xf numFmtId="0" fontId="12" fillId="0" borderId="5" xfId="0" applyFont="1" applyBorder="1" applyAlignment="1">
      <alignment horizontal="left" vertical="center"/>
    </xf>
    <xf numFmtId="0" fontId="6" fillId="0" borderId="0" xfId="0" applyFont="1" applyAlignment="1">
      <alignment horizontal="center"/>
    </xf>
    <xf numFmtId="0" fontId="6" fillId="0" borderId="8" xfId="0" quotePrefix="1" applyFont="1" applyBorder="1" applyAlignment="1">
      <alignment horizontal="center"/>
    </xf>
    <xf numFmtId="1" fontId="8" fillId="0" borderId="8" xfId="1" applyNumberFormat="1" applyFont="1" applyBorder="1" applyAlignment="1">
      <alignment horizontal="center" vertical="center"/>
    </xf>
    <xf numFmtId="49" fontId="8" fillId="0" borderId="8" xfId="0" applyNumberFormat="1" applyFont="1" applyBorder="1" applyAlignment="1">
      <alignment horizontal="center" vertical="center"/>
    </xf>
    <xf numFmtId="0" fontId="8"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0" borderId="8" xfId="0" applyFont="1" applyBorder="1" applyAlignment="1" applyProtection="1">
      <alignment horizontal="left" vertical="center"/>
    </xf>
    <xf numFmtId="0" fontId="12" fillId="0" borderId="8" xfId="0" applyNumberFormat="1" applyFont="1" applyBorder="1" applyAlignment="1" applyProtection="1">
      <alignment horizontal="center"/>
    </xf>
    <xf numFmtId="164" fontId="50" fillId="0" borderId="0" xfId="0" applyNumberFormat="1" applyFont="1" applyAlignment="1">
      <alignment horizontal="center"/>
    </xf>
    <xf numFmtId="0" fontId="20" fillId="0" borderId="0" xfId="0" applyFont="1"/>
  </cellXfs>
  <cellStyles count="12">
    <cellStyle name="Euro" xfId="4"/>
    <cellStyle name="Euro 2" xfId="5"/>
    <cellStyle name="Euro 3" xfId="6"/>
    <cellStyle name="Standard" xfId="0" builtinId="0"/>
    <cellStyle name="Standard 2" xfId="1"/>
    <cellStyle name="Standard 2 2" xfId="7"/>
    <cellStyle name="Standard 2 2 2" xfId="11"/>
    <cellStyle name="Standard 3" xfId="2"/>
    <cellStyle name="Standard 4" xfId="3"/>
    <cellStyle name="Standard 5" xfId="8"/>
    <cellStyle name="Standard 6" xfId="9"/>
    <cellStyle name="Standard 7" xfId="10"/>
  </cellStyles>
  <dxfs count="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D99795"/>
      <color rgb="FFDEDE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1743075</xdr:colOff>
      <xdr:row>0</xdr:row>
      <xdr:rowOff>0</xdr:rowOff>
    </xdr:from>
    <xdr:to>
      <xdr:col>6</xdr:col>
      <xdr:colOff>57150</xdr:colOff>
      <xdr:row>5</xdr:row>
      <xdr:rowOff>77932</xdr:rowOff>
    </xdr:to>
    <xdr:pic>
      <xdr:nvPicPr>
        <xdr:cNvPr id="5" name="Grafik 4" descr="facett_hks37_200x200.png">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3362325" y="0"/>
          <a:ext cx="990600" cy="1001857"/>
        </a:xfrm>
        <a:prstGeom prst="rect">
          <a:avLst/>
        </a:prstGeom>
      </xdr:spPr>
    </xdr:pic>
    <xdr:clientData/>
  </xdr:twoCellAnchor>
  <xdr:twoCellAnchor>
    <xdr:from>
      <xdr:col>8</xdr:col>
      <xdr:colOff>295275</xdr:colOff>
      <xdr:row>17</xdr:row>
      <xdr:rowOff>180975</xdr:rowOff>
    </xdr:from>
    <xdr:to>
      <xdr:col>8</xdr:col>
      <xdr:colOff>533400</xdr:colOff>
      <xdr:row>18</xdr:row>
      <xdr:rowOff>85725</xdr:rowOff>
    </xdr:to>
    <xdr:cxnSp macro="">
      <xdr:nvCxnSpPr>
        <xdr:cNvPr id="3" name="Gerade Verbindung mit Pfeil 2">
          <a:extLst>
            <a:ext uri="{FF2B5EF4-FFF2-40B4-BE49-F238E27FC236}">
              <a16:creationId xmlns:a16="http://schemas.microsoft.com/office/drawing/2014/main" id="{00000000-0008-0000-0300-000003000000}"/>
            </a:ext>
          </a:extLst>
        </xdr:cNvPr>
        <xdr:cNvCxnSpPr/>
      </xdr:nvCxnSpPr>
      <xdr:spPr>
        <a:xfrm flipH="1">
          <a:off x="6410325" y="3333750"/>
          <a:ext cx="238125" cy="1809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266700</xdr:colOff>
      <xdr:row>17</xdr:row>
      <xdr:rowOff>180975</xdr:rowOff>
    </xdr:from>
    <xdr:to>
      <xdr:col>9</xdr:col>
      <xdr:colOff>466725</xdr:colOff>
      <xdr:row>18</xdr:row>
      <xdr:rowOff>104775</xdr:rowOff>
    </xdr:to>
    <xdr:cxnSp macro="">
      <xdr:nvCxnSpPr>
        <xdr:cNvPr id="6" name="Gerade Verbindung mit Pfeil 5">
          <a:extLst>
            <a:ext uri="{FF2B5EF4-FFF2-40B4-BE49-F238E27FC236}">
              <a16:creationId xmlns:a16="http://schemas.microsoft.com/office/drawing/2014/main" id="{00000000-0008-0000-0300-000006000000}"/>
            </a:ext>
          </a:extLst>
        </xdr:cNvPr>
        <xdr:cNvCxnSpPr/>
      </xdr:nvCxnSpPr>
      <xdr:spPr>
        <a:xfrm>
          <a:off x="7058025" y="3333750"/>
          <a:ext cx="200025" cy="2000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9525</xdr:rowOff>
    </xdr:from>
    <xdr:to>
      <xdr:col>1</xdr:col>
      <xdr:colOff>723900</xdr:colOff>
      <xdr:row>4</xdr:row>
      <xdr:rowOff>9525</xdr:rowOff>
    </xdr:to>
    <xdr:pic>
      <xdr:nvPicPr>
        <xdr:cNvPr id="2" name="Grafik 1" descr="facett_hks37_200x200.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200025" y="9525"/>
          <a:ext cx="790575" cy="7905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66675</xdr:rowOff>
    </xdr:to>
    <xdr:pic>
      <xdr:nvPicPr>
        <xdr:cNvPr id="2" name="Grafik 1" descr="facett_hks37_200x200.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66675</xdr:rowOff>
    </xdr:to>
    <xdr:pic>
      <xdr:nvPicPr>
        <xdr:cNvPr id="2" name="Grafik 1" descr="facett_hks37_200x200.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dimension ref="A1:D104"/>
  <sheetViews>
    <sheetView workbookViewId="0">
      <pane ySplit="1" topLeftCell="A81" activePane="bottomLeft" state="frozen"/>
      <selection activeCell="C57" sqref="C57"/>
      <selection pane="bottomLeft" activeCell="A98" sqref="A98"/>
    </sheetView>
  </sheetViews>
  <sheetFormatPr baseColWidth="10" defaultColWidth="11.42578125" defaultRowHeight="12.75" x14ac:dyDescent="0.2"/>
  <cols>
    <col min="1" max="1" width="11.42578125" style="10"/>
    <col min="2" max="2" width="11.42578125" style="11"/>
    <col min="3" max="3" width="112.5703125" style="90" customWidth="1"/>
    <col min="4" max="4" width="14.140625" style="93" customWidth="1"/>
    <col min="5" max="16384" width="11.42578125" style="12"/>
  </cols>
  <sheetData>
    <row r="1" spans="1:4" s="6" customFormat="1" ht="24" customHeight="1" x14ac:dyDescent="0.2">
      <c r="A1" s="4" t="s">
        <v>6</v>
      </c>
      <c r="B1" s="5" t="s">
        <v>7</v>
      </c>
      <c r="C1" s="81" t="s">
        <v>8</v>
      </c>
      <c r="D1" s="91" t="s">
        <v>106</v>
      </c>
    </row>
    <row r="2" spans="1:4" s="9" customFormat="1" ht="51" x14ac:dyDescent="0.2">
      <c r="A2" s="20" t="s">
        <v>16</v>
      </c>
      <c r="B2" s="21">
        <v>41989</v>
      </c>
      <c r="C2" s="82" t="s">
        <v>22</v>
      </c>
      <c r="D2" s="92" t="s">
        <v>107</v>
      </c>
    </row>
    <row r="3" spans="1:4" s="9" customFormat="1" ht="63.75" x14ac:dyDescent="0.2">
      <c r="A3" s="20" t="s">
        <v>18</v>
      </c>
      <c r="B3" s="21">
        <v>42092</v>
      </c>
      <c r="C3" s="82" t="s">
        <v>23</v>
      </c>
      <c r="D3" s="92" t="s">
        <v>107</v>
      </c>
    </row>
    <row r="4" spans="1:4" s="9" customFormat="1" ht="25.5" x14ac:dyDescent="0.2">
      <c r="A4" s="20" t="s">
        <v>19</v>
      </c>
      <c r="B4" s="21">
        <v>42093</v>
      </c>
      <c r="C4" s="83" t="s">
        <v>14</v>
      </c>
      <c r="D4" s="92" t="s">
        <v>107</v>
      </c>
    </row>
    <row r="5" spans="1:4" x14ac:dyDescent="0.2">
      <c r="A5" s="7" t="s">
        <v>24</v>
      </c>
      <c r="B5" s="8">
        <v>42352</v>
      </c>
      <c r="C5" s="83" t="s">
        <v>15</v>
      </c>
      <c r="D5" s="93" t="s">
        <v>107</v>
      </c>
    </row>
    <row r="6" spans="1:4" x14ac:dyDescent="0.2">
      <c r="A6" s="20" t="s">
        <v>25</v>
      </c>
      <c r="B6" s="21">
        <v>42389</v>
      </c>
      <c r="C6" s="82" t="s">
        <v>17</v>
      </c>
      <c r="D6" s="93" t="s">
        <v>107</v>
      </c>
    </row>
    <row r="7" spans="1:4" x14ac:dyDescent="0.2">
      <c r="A7" s="20" t="s">
        <v>26</v>
      </c>
      <c r="B7" s="21">
        <v>42556</v>
      </c>
      <c r="C7" s="82" t="s">
        <v>27</v>
      </c>
      <c r="D7" s="93" t="s">
        <v>107</v>
      </c>
    </row>
    <row r="8" spans="1:4" ht="25.5" x14ac:dyDescent="0.2">
      <c r="A8" s="20"/>
      <c r="B8" s="21"/>
      <c r="C8" s="83" t="s">
        <v>28</v>
      </c>
    </row>
    <row r="9" spans="1:4" s="9" customFormat="1" x14ac:dyDescent="0.2">
      <c r="A9" s="7" t="s">
        <v>29</v>
      </c>
      <c r="B9" s="8">
        <v>42573</v>
      </c>
      <c r="C9" s="84" t="s">
        <v>21</v>
      </c>
      <c r="D9" s="92" t="s">
        <v>107</v>
      </c>
    </row>
    <row r="10" spans="1:4" s="9" customFormat="1" ht="25.5" x14ac:dyDescent="0.2">
      <c r="A10" s="7"/>
      <c r="B10" s="8"/>
      <c r="C10" s="85" t="s">
        <v>30</v>
      </c>
      <c r="D10" s="92"/>
    </row>
    <row r="11" spans="1:4" s="9" customFormat="1" x14ac:dyDescent="0.2">
      <c r="A11" s="7"/>
      <c r="B11" s="8"/>
      <c r="C11" s="86" t="s">
        <v>33</v>
      </c>
      <c r="D11" s="92"/>
    </row>
    <row r="12" spans="1:4" s="9" customFormat="1" x14ac:dyDescent="0.2">
      <c r="A12" s="7"/>
      <c r="B12" s="8"/>
      <c r="C12" s="86" t="s">
        <v>34</v>
      </c>
      <c r="D12" s="92"/>
    </row>
    <row r="13" spans="1:4" s="9" customFormat="1" x14ac:dyDescent="0.2">
      <c r="A13" s="7"/>
      <c r="B13" s="8"/>
      <c r="C13" s="86" t="s">
        <v>35</v>
      </c>
      <c r="D13" s="92"/>
    </row>
    <row r="14" spans="1:4" s="9" customFormat="1" x14ac:dyDescent="0.2">
      <c r="A14" s="7"/>
      <c r="B14" s="8"/>
      <c r="C14" s="86" t="s">
        <v>36</v>
      </c>
      <c r="D14" s="92"/>
    </row>
    <row r="15" spans="1:4" s="9" customFormat="1" x14ac:dyDescent="0.2">
      <c r="A15" s="7"/>
      <c r="B15" s="8"/>
      <c r="C15" s="83" t="s">
        <v>20</v>
      </c>
      <c r="D15" s="92"/>
    </row>
    <row r="16" spans="1:4" s="9" customFormat="1" ht="25.5" x14ac:dyDescent="0.2">
      <c r="A16" s="7"/>
      <c r="B16" s="8">
        <v>42579</v>
      </c>
      <c r="C16" s="83" t="s">
        <v>37</v>
      </c>
      <c r="D16" s="92" t="s">
        <v>107</v>
      </c>
    </row>
    <row r="17" spans="1:4" s="9" customFormat="1" x14ac:dyDescent="0.2">
      <c r="A17" s="7" t="s">
        <v>68</v>
      </c>
      <c r="B17" s="8">
        <v>42589</v>
      </c>
      <c r="C17" s="83" t="s">
        <v>60</v>
      </c>
      <c r="D17" s="92" t="s">
        <v>107</v>
      </c>
    </row>
    <row r="18" spans="1:4" s="9" customFormat="1" x14ac:dyDescent="0.2">
      <c r="A18" s="7"/>
      <c r="B18" s="8"/>
      <c r="C18" s="87" t="s">
        <v>61</v>
      </c>
      <c r="D18" s="92"/>
    </row>
    <row r="19" spans="1:4" s="9" customFormat="1" x14ac:dyDescent="0.2">
      <c r="A19" s="7"/>
      <c r="B19" s="8"/>
      <c r="C19" s="87" t="s">
        <v>62</v>
      </c>
      <c r="D19" s="92"/>
    </row>
    <row r="20" spans="1:4" s="9" customFormat="1" x14ac:dyDescent="0.2">
      <c r="A20" s="7"/>
      <c r="B20" s="8"/>
      <c r="C20" s="88" t="s">
        <v>64</v>
      </c>
      <c r="D20" s="92"/>
    </row>
    <row r="21" spans="1:4" s="9" customFormat="1" x14ac:dyDescent="0.2">
      <c r="A21" s="7"/>
      <c r="B21" s="8"/>
      <c r="C21" s="87" t="s">
        <v>63</v>
      </c>
      <c r="D21" s="92"/>
    </row>
    <row r="22" spans="1:4" s="9" customFormat="1" x14ac:dyDescent="0.2">
      <c r="A22" s="7"/>
      <c r="B22" s="8"/>
      <c r="C22" s="87" t="s">
        <v>65</v>
      </c>
      <c r="D22" s="92"/>
    </row>
    <row r="23" spans="1:4" s="9" customFormat="1" x14ac:dyDescent="0.2">
      <c r="A23" s="7"/>
      <c r="B23" s="8"/>
      <c r="C23" s="87" t="s">
        <v>66</v>
      </c>
      <c r="D23" s="92"/>
    </row>
    <row r="24" spans="1:4" s="9" customFormat="1" x14ac:dyDescent="0.2">
      <c r="A24" s="7"/>
      <c r="B24" s="8"/>
      <c r="C24" s="87" t="s">
        <v>67</v>
      </c>
      <c r="D24" s="92"/>
    </row>
    <row r="25" spans="1:4" s="9" customFormat="1" x14ac:dyDescent="0.2">
      <c r="A25" s="7" t="s">
        <v>77</v>
      </c>
      <c r="B25" s="8">
        <v>42732</v>
      </c>
      <c r="C25" s="83" t="s">
        <v>69</v>
      </c>
      <c r="D25" s="92" t="s">
        <v>107</v>
      </c>
    </row>
    <row r="26" spans="1:4" x14ac:dyDescent="0.2">
      <c r="B26" s="11">
        <v>42733</v>
      </c>
      <c r="C26" s="89" t="s">
        <v>72</v>
      </c>
      <c r="D26" s="93" t="s">
        <v>107</v>
      </c>
    </row>
    <row r="27" spans="1:4" x14ac:dyDescent="0.2">
      <c r="C27" s="89" t="s">
        <v>75</v>
      </c>
    </row>
    <row r="28" spans="1:4" x14ac:dyDescent="0.2">
      <c r="C28" s="89" t="s">
        <v>76</v>
      </c>
    </row>
    <row r="29" spans="1:4" x14ac:dyDescent="0.2">
      <c r="C29" s="89" t="s">
        <v>79</v>
      </c>
    </row>
    <row r="30" spans="1:4" x14ac:dyDescent="0.2">
      <c r="C30" s="89" t="s">
        <v>84</v>
      </c>
    </row>
    <row r="31" spans="1:4" ht="20.25" customHeight="1" x14ac:dyDescent="0.2">
      <c r="A31" s="10" t="s">
        <v>99</v>
      </c>
      <c r="B31" s="11">
        <v>42974</v>
      </c>
      <c r="C31" s="90" t="s">
        <v>100</v>
      </c>
      <c r="D31" s="93" t="s">
        <v>107</v>
      </c>
    </row>
    <row r="32" spans="1:4" x14ac:dyDescent="0.2">
      <c r="C32" s="89" t="s">
        <v>101</v>
      </c>
    </row>
    <row r="33" spans="2:4" ht="17.25" customHeight="1" x14ac:dyDescent="0.2">
      <c r="C33" s="90" t="s">
        <v>102</v>
      </c>
    </row>
    <row r="34" spans="2:4" x14ac:dyDescent="0.2">
      <c r="C34" s="90" t="s">
        <v>103</v>
      </c>
    </row>
    <row r="35" spans="2:4" ht="25.5" x14ac:dyDescent="0.2">
      <c r="C35" s="90" t="s">
        <v>104</v>
      </c>
    </row>
    <row r="36" spans="2:4" ht="25.5" x14ac:dyDescent="0.2">
      <c r="C36" s="90" t="s">
        <v>105</v>
      </c>
    </row>
    <row r="37" spans="2:4" ht="17.25" customHeight="1" x14ac:dyDescent="0.2">
      <c r="C37" s="94" t="s">
        <v>108</v>
      </c>
    </row>
    <row r="38" spans="2:4" x14ac:dyDescent="0.2">
      <c r="C38" s="89" t="s">
        <v>109</v>
      </c>
    </row>
    <row r="39" spans="2:4" ht="38.25" x14ac:dyDescent="0.2">
      <c r="C39" s="89" t="s">
        <v>115</v>
      </c>
    </row>
    <row r="40" spans="2:4" ht="12.75" customHeight="1" x14ac:dyDescent="0.2">
      <c r="C40" s="90" t="s">
        <v>118</v>
      </c>
    </row>
    <row r="41" spans="2:4" ht="25.5" x14ac:dyDescent="0.2">
      <c r="C41" s="90" t="s">
        <v>110</v>
      </c>
    </row>
    <row r="42" spans="2:4" ht="25.5" x14ac:dyDescent="0.2">
      <c r="C42" s="90" t="s">
        <v>111</v>
      </c>
    </row>
    <row r="43" spans="2:4" x14ac:dyDescent="0.2">
      <c r="C43" s="90" t="s">
        <v>125</v>
      </c>
    </row>
    <row r="44" spans="2:4" ht="25.5" x14ac:dyDescent="0.2">
      <c r="C44" s="90" t="s">
        <v>126</v>
      </c>
    </row>
    <row r="45" spans="2:4" ht="25.5" x14ac:dyDescent="0.2">
      <c r="C45" s="90" t="s">
        <v>132</v>
      </c>
    </row>
    <row r="46" spans="2:4" ht="51" x14ac:dyDescent="0.2">
      <c r="C46" s="90" t="s">
        <v>119</v>
      </c>
    </row>
    <row r="47" spans="2:4" ht="25.5" x14ac:dyDescent="0.2">
      <c r="C47" s="90" t="s">
        <v>120</v>
      </c>
    </row>
    <row r="48" spans="2:4" x14ac:dyDescent="0.2">
      <c r="B48" s="11">
        <v>43068</v>
      </c>
      <c r="C48" s="90" t="s">
        <v>129</v>
      </c>
      <c r="D48" s="93" t="s">
        <v>107</v>
      </c>
    </row>
    <row r="49" spans="1:4" x14ac:dyDescent="0.2">
      <c r="C49" s="90" t="s">
        <v>130</v>
      </c>
    </row>
    <row r="50" spans="1:4" x14ac:dyDescent="0.2">
      <c r="C50" s="90" t="s">
        <v>131</v>
      </c>
    </row>
    <row r="51" spans="1:4" ht="38.25" x14ac:dyDescent="0.2">
      <c r="B51" s="8">
        <v>43069</v>
      </c>
      <c r="C51" s="90" t="s">
        <v>133</v>
      </c>
    </row>
    <row r="52" spans="1:4" ht="13.5" customHeight="1" x14ac:dyDescent="0.2">
      <c r="C52" s="90" t="s">
        <v>134</v>
      </c>
    </row>
    <row r="53" spans="1:4" ht="30.75" customHeight="1" x14ac:dyDescent="0.2">
      <c r="A53" s="105" t="s">
        <v>136</v>
      </c>
      <c r="B53" s="106">
        <v>43308</v>
      </c>
      <c r="C53" s="90" t="s">
        <v>139</v>
      </c>
      <c r="D53" s="125" t="s">
        <v>107</v>
      </c>
    </row>
    <row r="54" spans="1:4" x14ac:dyDescent="0.2">
      <c r="C54" s="90" t="s">
        <v>138</v>
      </c>
      <c r="D54" s="126"/>
    </row>
    <row r="55" spans="1:4" ht="25.5" x14ac:dyDescent="0.2">
      <c r="C55" s="90" t="s">
        <v>137</v>
      </c>
      <c r="D55" s="126"/>
    </row>
    <row r="56" spans="1:4" ht="38.25" x14ac:dyDescent="0.2">
      <c r="C56" s="89" t="s">
        <v>150</v>
      </c>
      <c r="D56" s="126"/>
    </row>
    <row r="57" spans="1:4" x14ac:dyDescent="0.2">
      <c r="C57" s="90" t="s">
        <v>140</v>
      </c>
      <c r="D57" s="126"/>
    </row>
    <row r="58" spans="1:4" x14ac:dyDescent="0.2">
      <c r="B58" s="11">
        <v>43431</v>
      </c>
      <c r="C58" s="90" t="s">
        <v>149</v>
      </c>
      <c r="D58" s="126"/>
    </row>
    <row r="59" spans="1:4" x14ac:dyDescent="0.2">
      <c r="C59" s="90" t="s">
        <v>151</v>
      </c>
      <c r="D59" s="126"/>
    </row>
    <row r="60" spans="1:4" x14ac:dyDescent="0.2">
      <c r="A60" s="10" t="s">
        <v>224</v>
      </c>
      <c r="B60" s="11">
        <v>44391</v>
      </c>
      <c r="C60" s="90" t="s">
        <v>225</v>
      </c>
      <c r="D60" s="126" t="s">
        <v>226</v>
      </c>
    </row>
    <row r="61" spans="1:4" x14ac:dyDescent="0.2">
      <c r="A61"/>
      <c r="B61"/>
      <c r="C61" s="89" t="s">
        <v>227</v>
      </c>
      <c r="D61" s="127"/>
    </row>
    <row r="62" spans="1:4" x14ac:dyDescent="0.2">
      <c r="A62"/>
      <c r="B62"/>
      <c r="C62" s="89" t="s">
        <v>228</v>
      </c>
      <c r="D62" s="127"/>
    </row>
    <row r="63" spans="1:4" ht="38.25" x14ac:dyDescent="0.2">
      <c r="A63"/>
      <c r="B63"/>
      <c r="C63" s="87" t="s">
        <v>229</v>
      </c>
      <c r="D63" s="127"/>
    </row>
    <row r="64" spans="1:4" ht="38.25" x14ac:dyDescent="0.2">
      <c r="B64" s="106">
        <v>44397</v>
      </c>
      <c r="C64" s="90" t="s">
        <v>220</v>
      </c>
      <c r="D64" s="128" t="s">
        <v>226</v>
      </c>
    </row>
    <row r="65" spans="1:4" x14ac:dyDescent="0.2">
      <c r="C65" s="90" t="s">
        <v>221</v>
      </c>
      <c r="D65" s="126"/>
    </row>
    <row r="66" spans="1:4" x14ac:dyDescent="0.2">
      <c r="C66" s="89" t="s">
        <v>230</v>
      </c>
      <c r="D66" s="126"/>
    </row>
    <row r="67" spans="1:4" x14ac:dyDescent="0.2">
      <c r="A67" s="10" t="s">
        <v>231</v>
      </c>
      <c r="B67" s="11">
        <v>44440</v>
      </c>
      <c r="C67" s="90" t="s">
        <v>232</v>
      </c>
      <c r="D67" s="126" t="s">
        <v>226</v>
      </c>
    </row>
    <row r="68" spans="1:4" x14ac:dyDescent="0.2">
      <c r="C68" s="89" t="s">
        <v>233</v>
      </c>
      <c r="D68" s="126"/>
    </row>
    <row r="69" spans="1:4" x14ac:dyDescent="0.2">
      <c r="A69" s="10" t="s">
        <v>234</v>
      </c>
      <c r="B69" s="106">
        <v>44470</v>
      </c>
      <c r="C69" s="89" t="s">
        <v>235</v>
      </c>
      <c r="D69" s="126" t="s">
        <v>226</v>
      </c>
    </row>
    <row r="70" spans="1:4" x14ac:dyDescent="0.2">
      <c r="C70" s="89" t="s">
        <v>236</v>
      </c>
      <c r="D70" s="126"/>
    </row>
    <row r="71" spans="1:4" ht="25.5" x14ac:dyDescent="0.2">
      <c r="C71" s="89" t="s">
        <v>238</v>
      </c>
      <c r="D71" s="126" t="s">
        <v>107</v>
      </c>
    </row>
    <row r="72" spans="1:4" ht="25.5" x14ac:dyDescent="0.2">
      <c r="C72" s="89" t="s">
        <v>239</v>
      </c>
      <c r="D72" s="126"/>
    </row>
    <row r="73" spans="1:4" ht="25.5" x14ac:dyDescent="0.2">
      <c r="C73" s="89" t="s">
        <v>244</v>
      </c>
      <c r="D73" s="126"/>
    </row>
    <row r="74" spans="1:4" ht="25.5" x14ac:dyDescent="0.2">
      <c r="C74" s="89" t="s">
        <v>245</v>
      </c>
      <c r="D74" s="126"/>
    </row>
    <row r="75" spans="1:4" ht="25.5" x14ac:dyDescent="0.2">
      <c r="C75" s="89" t="s">
        <v>249</v>
      </c>
      <c r="D75" s="126"/>
    </row>
    <row r="76" spans="1:4" ht="25.5" x14ac:dyDescent="0.2">
      <c r="C76" s="89" t="s">
        <v>246</v>
      </c>
      <c r="D76" s="126"/>
    </row>
    <row r="77" spans="1:4" ht="25.5" x14ac:dyDescent="0.2">
      <c r="C77" s="89" t="s">
        <v>252</v>
      </c>
      <c r="D77" s="126"/>
    </row>
    <row r="78" spans="1:4" ht="25.5" x14ac:dyDescent="0.2">
      <c r="C78" s="89" t="s">
        <v>247</v>
      </c>
      <c r="D78" s="126"/>
    </row>
    <row r="79" spans="1:4" ht="25.5" x14ac:dyDescent="0.2">
      <c r="C79" s="89" t="s">
        <v>248</v>
      </c>
      <c r="D79" s="126"/>
    </row>
    <row r="80" spans="1:4" ht="25.5" x14ac:dyDescent="0.2">
      <c r="C80" s="89" t="s">
        <v>250</v>
      </c>
      <c r="D80" s="126"/>
    </row>
    <row r="81" spans="1:4" ht="25.5" x14ac:dyDescent="0.2">
      <c r="C81" s="89" t="s">
        <v>251</v>
      </c>
      <c r="D81" s="126"/>
    </row>
    <row r="82" spans="1:4" x14ac:dyDescent="0.2">
      <c r="C82" s="89" t="s">
        <v>240</v>
      </c>
      <c r="D82" s="126"/>
    </row>
    <row r="83" spans="1:4" x14ac:dyDescent="0.2">
      <c r="C83" s="89" t="s">
        <v>241</v>
      </c>
      <c r="D83" s="126"/>
    </row>
    <row r="84" spans="1:4" x14ac:dyDescent="0.2">
      <c r="C84" s="89" t="s">
        <v>242</v>
      </c>
      <c r="D84" s="126"/>
    </row>
    <row r="85" spans="1:4" x14ac:dyDescent="0.2">
      <c r="C85" s="89" t="s">
        <v>243</v>
      </c>
      <c r="D85" s="126"/>
    </row>
    <row r="86" spans="1:4" x14ac:dyDescent="0.2">
      <c r="C86" s="89" t="s">
        <v>237</v>
      </c>
      <c r="D86" s="126"/>
    </row>
    <row r="87" spans="1:4" x14ac:dyDescent="0.2">
      <c r="A87" s="10" t="s">
        <v>253</v>
      </c>
      <c r="B87" s="11">
        <v>44915</v>
      </c>
      <c r="C87" s="12" t="s">
        <v>254</v>
      </c>
      <c r="D87" s="126"/>
    </row>
    <row r="88" spans="1:4" x14ac:dyDescent="0.2">
      <c r="B88" s="11">
        <v>45254</v>
      </c>
      <c r="C88" s="89" t="s">
        <v>255</v>
      </c>
      <c r="D88" s="126"/>
    </row>
    <row r="89" spans="1:4" x14ac:dyDescent="0.2">
      <c r="B89" s="11">
        <v>45630</v>
      </c>
      <c r="C89" s="90" t="s">
        <v>266</v>
      </c>
      <c r="D89" s="126"/>
    </row>
    <row r="90" spans="1:4" x14ac:dyDescent="0.2">
      <c r="C90" s="89" t="s">
        <v>267</v>
      </c>
      <c r="D90" s="126"/>
    </row>
    <row r="91" spans="1:4" x14ac:dyDescent="0.2">
      <c r="B91" s="106">
        <v>45661</v>
      </c>
      <c r="C91" s="90" t="s">
        <v>269</v>
      </c>
      <c r="D91" s="126"/>
    </row>
    <row r="92" spans="1:4" x14ac:dyDescent="0.2">
      <c r="A92" s="10" t="s">
        <v>293</v>
      </c>
      <c r="B92" s="11">
        <v>46009</v>
      </c>
      <c r="C92" s="94" t="s">
        <v>294</v>
      </c>
      <c r="D92" s="125" t="s">
        <v>226</v>
      </c>
    </row>
    <row r="93" spans="1:4" x14ac:dyDescent="0.2">
      <c r="C93" s="90" t="s">
        <v>295</v>
      </c>
      <c r="D93" s="126"/>
    </row>
    <row r="94" spans="1:4" x14ac:dyDescent="0.2">
      <c r="C94" s="90" t="s">
        <v>296</v>
      </c>
    </row>
    <row r="95" spans="1:4" x14ac:dyDescent="0.2">
      <c r="C95" s="90" t="s">
        <v>297</v>
      </c>
    </row>
    <row r="96" spans="1:4" x14ac:dyDescent="0.2">
      <c r="C96" s="90" t="s">
        <v>298</v>
      </c>
    </row>
    <row r="97" spans="1:4" x14ac:dyDescent="0.2">
      <c r="A97" s="10" t="s">
        <v>310</v>
      </c>
      <c r="B97" s="11">
        <v>46042</v>
      </c>
      <c r="C97" s="90" t="s">
        <v>306</v>
      </c>
      <c r="D97" s="93" t="s">
        <v>107</v>
      </c>
    </row>
    <row r="98" spans="1:4" x14ac:dyDescent="0.2">
      <c r="C98" s="90" t="s">
        <v>307</v>
      </c>
    </row>
    <row r="99" spans="1:4" x14ac:dyDescent="0.2">
      <c r="C99" s="90" t="s">
        <v>308</v>
      </c>
    </row>
    <row r="100" spans="1:4" x14ac:dyDescent="0.2">
      <c r="C100" s="89" t="s">
        <v>240</v>
      </c>
    </row>
    <row r="101" spans="1:4" x14ac:dyDescent="0.2">
      <c r="C101" s="89" t="s">
        <v>241</v>
      </c>
    </row>
    <row r="102" spans="1:4" x14ac:dyDescent="0.2">
      <c r="C102" s="89" t="s">
        <v>242</v>
      </c>
    </row>
    <row r="103" spans="1:4" x14ac:dyDescent="0.2">
      <c r="C103" s="89" t="s">
        <v>243</v>
      </c>
    </row>
    <row r="104" spans="1:4" x14ac:dyDescent="0.2">
      <c r="C104" s="89" t="s">
        <v>309</v>
      </c>
    </row>
  </sheetData>
  <sheetProtection algorithmName="SHA-512" hashValue="XQ1Rpq2OYGgGzvMTx9iCUrej7MBzNzhy0QavIv5jirgaJwHX6LsZlEH3mA+3l8aDskp2Qp1yO//oX4VR3wnQzQ==" saltValue="VzpXGaASgrmyNQ4b/+EPNQ==" spinCount="100000" sheet="1" objects="1" scenarios="1" selectLockedCells="1" selectUnlockedCells="1"/>
  <pageMargins left="0.70866141732283472" right="0.70866141732283472" top="0.78740157480314965" bottom="0.78740157480314965" header="0.31496062992125984" footer="0.31496062992125984"/>
  <pageSetup paperSize="9" orientation="landscape" r:id="rId1"/>
  <headerFooter>
    <oddHeader>&amp;C&amp;"Calibri,Fett"&amp;14Dokumentation Buchungsblatt Handkasse</oddHeader>
    <oddFooter>&amp;L&amp;"Calibri,Standard"&amp;7Stand: &amp;D&amp;C&amp;"Calibri,Standard"&amp;7Seite &amp;P von &amp;N&amp;R&amp;"Calibri,Standard"&amp;7Datei: &amp;F</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dimension ref="A1:O268"/>
  <sheetViews>
    <sheetView zoomScale="90" zoomScaleNormal="90" workbookViewId="0">
      <pane ySplit="1" topLeftCell="A2" activePane="bottomLeft" state="frozen"/>
      <selection activeCell="C62" sqref="C62"/>
      <selection pane="bottomLeft" activeCell="C1" sqref="C1:K1048576"/>
    </sheetView>
  </sheetViews>
  <sheetFormatPr baseColWidth="10" defaultColWidth="11.42578125" defaultRowHeight="12.75" x14ac:dyDescent="0.2"/>
  <cols>
    <col min="1" max="1" width="9.140625" style="1" customWidth="1"/>
    <col min="2" max="2" width="41.42578125" style="2" bestFit="1" customWidth="1"/>
    <col min="3" max="3" width="24.5703125" style="2" hidden="1" customWidth="1"/>
    <col min="4" max="4" width="15.28515625" style="2" hidden="1" customWidth="1"/>
    <col min="5" max="6" width="14" style="3" hidden="1" customWidth="1"/>
    <col min="7" max="11" width="29" style="102" hidden="1" customWidth="1"/>
    <col min="12" max="12" width="9.85546875" style="2" customWidth="1"/>
    <col min="13" max="13" width="7" style="2" customWidth="1"/>
    <col min="14" max="14" width="23.7109375" style="2" bestFit="1" customWidth="1"/>
    <col min="15" max="15" width="11.42578125" style="3"/>
    <col min="16" max="16384" width="11.42578125" style="2"/>
  </cols>
  <sheetData>
    <row r="1" spans="1:14" s="13" customFormat="1" ht="36" customHeight="1" x14ac:dyDescent="0.2">
      <c r="A1" s="13" t="s">
        <v>5</v>
      </c>
      <c r="B1" s="14" t="s">
        <v>12</v>
      </c>
      <c r="C1" s="15" t="s">
        <v>13</v>
      </c>
      <c r="D1" s="103" t="s">
        <v>135</v>
      </c>
      <c r="E1" s="13" t="s">
        <v>11</v>
      </c>
      <c r="F1" s="13" t="s">
        <v>145</v>
      </c>
      <c r="G1" s="22" t="s">
        <v>146</v>
      </c>
      <c r="H1" s="103" t="s">
        <v>141</v>
      </c>
      <c r="I1" s="13" t="s">
        <v>142</v>
      </c>
      <c r="J1" s="13" t="s">
        <v>143</v>
      </c>
      <c r="K1" s="15" t="s">
        <v>144</v>
      </c>
      <c r="L1" s="18" t="s">
        <v>4</v>
      </c>
      <c r="M1" s="16">
        <v>90005</v>
      </c>
      <c r="N1" s="17" t="s">
        <v>311</v>
      </c>
    </row>
    <row r="2" spans="1:14" x14ac:dyDescent="0.2">
      <c r="A2" s="142">
        <v>1</v>
      </c>
      <c r="B2" s="2" t="s">
        <v>312</v>
      </c>
      <c r="C2" s="2" t="str">
        <f t="shared" ref="C2:C58" si="0">MID(B2,5,100)</f>
        <v>RVV Oberursel</v>
      </c>
      <c r="D2" s="3" t="str">
        <f t="shared" ref="D2:D65" si="1">IF(LEN($A2)&lt;=4,LEFT(TEXT($A2,"0000"),4),LEFT(TEXT($A2,"000000"),4))</f>
        <v>0001</v>
      </c>
      <c r="E2" s="3" t="str">
        <f t="shared" ref="E2:E65" si="2">$M$1&amp;$D2</f>
        <v>900050001</v>
      </c>
      <c r="F2" s="104"/>
    </row>
    <row r="3" spans="1:14" x14ac:dyDescent="0.2">
      <c r="A3" s="142">
        <v>305</v>
      </c>
      <c r="B3" s="2" t="s">
        <v>313</v>
      </c>
      <c r="C3" s="2" t="str">
        <f t="shared" si="0"/>
        <v>Kirchengemeinde Burgholzhausen</v>
      </c>
      <c r="D3" s="3" t="str">
        <f t="shared" si="1"/>
        <v>0305</v>
      </c>
      <c r="E3" s="3" t="str">
        <f t="shared" si="2"/>
        <v>900050305</v>
      </c>
      <c r="F3" s="104">
        <v>900050398</v>
      </c>
      <c r="G3" s="102" t="s">
        <v>314</v>
      </c>
    </row>
    <row r="4" spans="1:14" x14ac:dyDescent="0.2">
      <c r="A4" s="142">
        <v>307</v>
      </c>
      <c r="B4" s="2" t="s">
        <v>315</v>
      </c>
      <c r="C4" s="2" t="str">
        <f t="shared" si="0"/>
        <v>Kirchengemeinde Friedrichsdorf</v>
      </c>
      <c r="D4" s="3" t="str">
        <f t="shared" si="1"/>
        <v>0307</v>
      </c>
      <c r="E4" s="3" t="str">
        <f t="shared" si="2"/>
        <v>900050307</v>
      </c>
      <c r="F4" s="104">
        <v>900050398</v>
      </c>
      <c r="G4" s="102" t="s">
        <v>314</v>
      </c>
    </row>
    <row r="5" spans="1:14" x14ac:dyDescent="0.2">
      <c r="A5" s="142">
        <v>308</v>
      </c>
      <c r="B5" s="2" t="s">
        <v>316</v>
      </c>
      <c r="C5" s="2" t="str">
        <f t="shared" si="0"/>
        <v>Kirchengemeinde Köppern</v>
      </c>
      <c r="D5" s="3" t="str">
        <f t="shared" si="1"/>
        <v>0308</v>
      </c>
      <c r="E5" s="3" t="str">
        <f t="shared" si="2"/>
        <v>900050308</v>
      </c>
      <c r="F5" s="104">
        <v>900050398</v>
      </c>
      <c r="G5" s="102" t="s">
        <v>314</v>
      </c>
    </row>
    <row r="6" spans="1:14" x14ac:dyDescent="0.2">
      <c r="A6" s="142">
        <v>310</v>
      </c>
      <c r="B6" s="2" t="s">
        <v>317</v>
      </c>
      <c r="C6" s="2" t="str">
        <f t="shared" si="0"/>
        <v>Kirchengemeinde Oberstedten</v>
      </c>
      <c r="D6" s="3" t="str">
        <f t="shared" si="1"/>
        <v>0310</v>
      </c>
      <c r="E6" s="3" t="str">
        <f t="shared" si="2"/>
        <v>900050310</v>
      </c>
      <c r="F6" s="104">
        <v>900050398</v>
      </c>
      <c r="G6" s="102" t="s">
        <v>314</v>
      </c>
    </row>
    <row r="7" spans="1:14" x14ac:dyDescent="0.2">
      <c r="A7" s="142">
        <v>312</v>
      </c>
      <c r="B7" s="2" t="s">
        <v>318</v>
      </c>
      <c r="C7" s="2" t="str">
        <f t="shared" si="0"/>
        <v>Kirchengemeinde Seulberg</v>
      </c>
      <c r="D7" s="3" t="str">
        <f t="shared" si="1"/>
        <v>0312</v>
      </c>
      <c r="E7" s="3" t="str">
        <f t="shared" si="2"/>
        <v>900050312</v>
      </c>
      <c r="F7" s="104">
        <v>900050398</v>
      </c>
      <c r="G7" s="102" t="s">
        <v>314</v>
      </c>
    </row>
    <row r="8" spans="1:14" x14ac:dyDescent="0.2">
      <c r="A8" s="142">
        <v>313</v>
      </c>
      <c r="B8" s="2" t="s">
        <v>319</v>
      </c>
      <c r="C8" s="2" t="str">
        <f t="shared" si="0"/>
        <v>St. Georgsgemeinde Steinbach</v>
      </c>
      <c r="D8" s="3" t="str">
        <f t="shared" si="1"/>
        <v>0313</v>
      </c>
      <c r="E8" s="3" t="str">
        <f t="shared" si="2"/>
        <v>900050313</v>
      </c>
      <c r="F8" s="104">
        <v>900050398</v>
      </c>
      <c r="G8" s="102" t="s">
        <v>314</v>
      </c>
    </row>
    <row r="9" spans="1:14" x14ac:dyDescent="0.2">
      <c r="A9" s="142">
        <v>314</v>
      </c>
      <c r="B9" s="2" t="s">
        <v>320</v>
      </c>
      <c r="C9" s="2" t="str">
        <f t="shared" si="0"/>
        <v>Versöhnungsgemeinde Stierstadt-Weißkirchen</v>
      </c>
      <c r="D9" s="3" t="str">
        <f t="shared" si="1"/>
        <v>0314</v>
      </c>
      <c r="E9" s="3" t="str">
        <f t="shared" si="2"/>
        <v>900050314</v>
      </c>
      <c r="F9" s="104">
        <v>900050398</v>
      </c>
      <c r="G9" s="102" t="s">
        <v>314</v>
      </c>
    </row>
    <row r="10" spans="1:14" x14ac:dyDescent="0.2">
      <c r="A10" s="142">
        <v>316</v>
      </c>
      <c r="B10" s="2" t="s">
        <v>321</v>
      </c>
      <c r="C10" s="2" t="str">
        <f t="shared" si="0"/>
        <v>Auferstehungsgemeinde Oberursel</v>
      </c>
      <c r="D10" s="3" t="str">
        <f t="shared" si="1"/>
        <v>0316</v>
      </c>
      <c r="E10" s="3" t="str">
        <f t="shared" si="2"/>
        <v>900050316</v>
      </c>
      <c r="F10" s="104">
        <v>900050398</v>
      </c>
      <c r="G10" s="102" t="s">
        <v>314</v>
      </c>
    </row>
    <row r="11" spans="1:14" x14ac:dyDescent="0.2">
      <c r="A11" s="142">
        <v>317</v>
      </c>
      <c r="B11" s="2" t="s">
        <v>322</v>
      </c>
      <c r="C11" s="2" t="str">
        <f t="shared" si="0"/>
        <v>Christuskirchengemeinde Oberursel</v>
      </c>
      <c r="D11" s="3" t="str">
        <f t="shared" si="1"/>
        <v>0317</v>
      </c>
      <c r="E11" s="3" t="str">
        <f t="shared" si="2"/>
        <v>900050317</v>
      </c>
      <c r="F11" s="104">
        <v>900050398</v>
      </c>
      <c r="G11" s="102" t="s">
        <v>314</v>
      </c>
    </row>
    <row r="12" spans="1:14" x14ac:dyDescent="0.2">
      <c r="A12" s="142">
        <v>318</v>
      </c>
      <c r="B12" s="2" t="s">
        <v>323</v>
      </c>
      <c r="C12" s="2" t="str">
        <f t="shared" si="0"/>
        <v>Heilig-Geist- Kirchengemeinde Oberursel</v>
      </c>
      <c r="D12" s="3" t="str">
        <f t="shared" si="1"/>
        <v>0318</v>
      </c>
      <c r="E12" s="3" t="str">
        <f t="shared" si="2"/>
        <v>900050318</v>
      </c>
      <c r="F12" s="104">
        <v>900050398</v>
      </c>
      <c r="G12" s="102" t="s">
        <v>314</v>
      </c>
    </row>
    <row r="13" spans="1:14" x14ac:dyDescent="0.2">
      <c r="A13" s="142">
        <v>319</v>
      </c>
      <c r="B13" s="2" t="s">
        <v>324</v>
      </c>
      <c r="C13" s="2" t="str">
        <f t="shared" si="0"/>
        <v>Kreuzkirchengemeinde Oberursel</v>
      </c>
      <c r="D13" s="3" t="str">
        <f t="shared" si="1"/>
        <v>0319</v>
      </c>
      <c r="E13" s="3" t="str">
        <f t="shared" si="2"/>
        <v>900050319</v>
      </c>
      <c r="F13" s="104">
        <v>900050398</v>
      </c>
      <c r="G13" s="102" t="s">
        <v>314</v>
      </c>
    </row>
    <row r="14" spans="1:14" x14ac:dyDescent="0.2">
      <c r="A14" s="142">
        <v>320</v>
      </c>
      <c r="B14" s="2" t="s">
        <v>325</v>
      </c>
      <c r="C14" s="2" t="str">
        <f t="shared" si="0"/>
        <v>Kirchengemeinde Anspach</v>
      </c>
      <c r="D14" s="3" t="str">
        <f t="shared" si="1"/>
        <v>0320</v>
      </c>
      <c r="E14" s="3" t="str">
        <f t="shared" si="2"/>
        <v>900050320</v>
      </c>
      <c r="F14" s="104">
        <v>900050398</v>
      </c>
      <c r="G14" s="102" t="s">
        <v>314</v>
      </c>
    </row>
    <row r="15" spans="1:14" x14ac:dyDescent="0.2">
      <c r="A15" s="142">
        <v>321</v>
      </c>
      <c r="B15" s="2" t="s">
        <v>326</v>
      </c>
      <c r="C15" s="2" t="str">
        <f t="shared" si="0"/>
        <v>Kirchengemeinde Arnoldshain</v>
      </c>
      <c r="D15" s="3" t="str">
        <f t="shared" si="1"/>
        <v>0321</v>
      </c>
      <c r="E15" s="3" t="str">
        <f t="shared" si="2"/>
        <v>900050321</v>
      </c>
      <c r="F15" s="104">
        <v>900050398</v>
      </c>
      <c r="G15" s="102" t="s">
        <v>314</v>
      </c>
    </row>
    <row r="16" spans="1:14" x14ac:dyDescent="0.2">
      <c r="A16" s="142">
        <v>322</v>
      </c>
      <c r="B16" s="2" t="s">
        <v>327</v>
      </c>
      <c r="C16" s="2" t="str">
        <f t="shared" si="0"/>
        <v>Kirchengemeinde Emmershausen</v>
      </c>
      <c r="D16" s="3" t="str">
        <f t="shared" si="1"/>
        <v>0322</v>
      </c>
      <c r="E16" s="3" t="str">
        <f t="shared" si="2"/>
        <v>900050322</v>
      </c>
      <c r="F16" s="104">
        <v>900050398</v>
      </c>
      <c r="G16" s="102" t="s">
        <v>314</v>
      </c>
    </row>
    <row r="17" spans="1:7" x14ac:dyDescent="0.2">
      <c r="A17" s="142">
        <v>323</v>
      </c>
      <c r="B17" s="2" t="s">
        <v>328</v>
      </c>
      <c r="C17" s="2" t="str">
        <f t="shared" si="0"/>
        <v>Kirchengemeinde Eschbach</v>
      </c>
      <c r="D17" s="3" t="str">
        <f t="shared" si="1"/>
        <v>0323</v>
      </c>
      <c r="E17" s="3" t="str">
        <f t="shared" si="2"/>
        <v>900050323</v>
      </c>
      <c r="F17" s="104">
        <v>900050398</v>
      </c>
      <c r="G17" s="102" t="s">
        <v>314</v>
      </c>
    </row>
    <row r="18" spans="1:7" x14ac:dyDescent="0.2">
      <c r="A18" s="142">
        <v>324</v>
      </c>
      <c r="B18" s="2" t="s">
        <v>329</v>
      </c>
      <c r="C18" s="2" t="str">
        <f t="shared" si="0"/>
        <v>Kirchengemeinde Gemünden</v>
      </c>
      <c r="D18" s="3" t="str">
        <f t="shared" si="1"/>
        <v>0324</v>
      </c>
      <c r="E18" s="3" t="str">
        <f t="shared" si="2"/>
        <v>900050324</v>
      </c>
      <c r="F18" s="104">
        <v>900050398</v>
      </c>
      <c r="G18" s="102" t="s">
        <v>314</v>
      </c>
    </row>
    <row r="19" spans="1:7" x14ac:dyDescent="0.2">
      <c r="A19" s="142">
        <v>325</v>
      </c>
      <c r="B19" s="2" t="s">
        <v>330</v>
      </c>
      <c r="C19" s="2" t="str">
        <f t="shared" si="0"/>
        <v>Kirchengemeinde Grävenwiesbach</v>
      </c>
      <c r="D19" s="3" t="str">
        <f t="shared" si="1"/>
        <v>0325</v>
      </c>
      <c r="E19" s="3" t="str">
        <f t="shared" si="2"/>
        <v>900050325</v>
      </c>
      <c r="F19" s="104">
        <v>900050398</v>
      </c>
      <c r="G19" s="102" t="s">
        <v>314</v>
      </c>
    </row>
    <row r="20" spans="1:7" x14ac:dyDescent="0.2">
      <c r="A20" s="142">
        <v>329</v>
      </c>
      <c r="B20" s="2" t="s">
        <v>331</v>
      </c>
      <c r="C20" s="2" t="str">
        <f t="shared" si="0"/>
        <v>Kirchengemeinde Rod am Berg</v>
      </c>
      <c r="D20" s="3" t="str">
        <f t="shared" si="1"/>
        <v>0329</v>
      </c>
      <c r="E20" s="3" t="str">
        <f t="shared" si="2"/>
        <v>900050329</v>
      </c>
      <c r="F20" s="104">
        <v>900050398</v>
      </c>
      <c r="G20" s="102" t="s">
        <v>314</v>
      </c>
    </row>
    <row r="21" spans="1:7" x14ac:dyDescent="0.2">
      <c r="A21" s="142">
        <v>330</v>
      </c>
      <c r="B21" s="2" t="s">
        <v>332</v>
      </c>
      <c r="C21" s="2" t="str">
        <f t="shared" si="0"/>
        <v>Kirchengemeinde Rod an der Weil</v>
      </c>
      <c r="D21" s="3" t="str">
        <f t="shared" si="1"/>
        <v>0330</v>
      </c>
      <c r="E21" s="3" t="str">
        <f t="shared" si="2"/>
        <v>900050330</v>
      </c>
      <c r="F21" s="104">
        <v>900050398</v>
      </c>
      <c r="G21" s="102" t="s">
        <v>314</v>
      </c>
    </row>
    <row r="22" spans="1:7" x14ac:dyDescent="0.2">
      <c r="A22" s="142">
        <v>331</v>
      </c>
      <c r="B22" s="2" t="s">
        <v>333</v>
      </c>
      <c r="C22" s="2" t="str">
        <f t="shared" si="0"/>
        <v>Kirchengemeinde Usingen</v>
      </c>
      <c r="D22" s="3" t="str">
        <f t="shared" si="1"/>
        <v>0331</v>
      </c>
      <c r="E22" s="3" t="str">
        <f t="shared" si="2"/>
        <v>900050331</v>
      </c>
      <c r="F22" s="104">
        <v>900050398</v>
      </c>
      <c r="G22" s="102" t="s">
        <v>314</v>
      </c>
    </row>
    <row r="23" spans="1:7" x14ac:dyDescent="0.2">
      <c r="A23" s="142">
        <v>332</v>
      </c>
      <c r="B23" s="2" t="s">
        <v>334</v>
      </c>
      <c r="C23" s="2" t="str">
        <f t="shared" si="0"/>
        <v>Kirchengemeinde Wehrheim</v>
      </c>
      <c r="D23" s="3" t="str">
        <f t="shared" si="1"/>
        <v>0332</v>
      </c>
      <c r="E23" s="3" t="str">
        <f t="shared" si="2"/>
        <v>900050332</v>
      </c>
      <c r="F23" s="104">
        <v>900050398</v>
      </c>
      <c r="G23" s="102" t="s">
        <v>314</v>
      </c>
    </row>
    <row r="24" spans="1:7" x14ac:dyDescent="0.2">
      <c r="A24" s="142">
        <v>333</v>
      </c>
      <c r="B24" s="2" t="s">
        <v>335</v>
      </c>
      <c r="C24" s="2" t="str">
        <f t="shared" si="0"/>
        <v>Kirchengemeinde Hausen-Westerfeld</v>
      </c>
      <c r="D24" s="3" t="str">
        <f t="shared" si="1"/>
        <v>0333</v>
      </c>
      <c r="E24" s="3" t="str">
        <f t="shared" si="2"/>
        <v>900050333</v>
      </c>
      <c r="F24" s="104">
        <v>900050398</v>
      </c>
      <c r="G24" s="102" t="s">
        <v>314</v>
      </c>
    </row>
    <row r="25" spans="1:7" x14ac:dyDescent="0.2">
      <c r="A25" s="142">
        <v>334</v>
      </c>
      <c r="B25" s="2" t="s">
        <v>336</v>
      </c>
      <c r="C25" s="2" t="str">
        <f t="shared" si="0"/>
        <v>Kirchengemeinde Weilnau</v>
      </c>
      <c r="D25" s="3" t="str">
        <f t="shared" si="1"/>
        <v>0334</v>
      </c>
      <c r="E25" s="3" t="str">
        <f t="shared" si="2"/>
        <v>900050334</v>
      </c>
      <c r="F25" s="104">
        <v>900050398</v>
      </c>
      <c r="G25" s="102" t="s">
        <v>314</v>
      </c>
    </row>
    <row r="26" spans="1:7" x14ac:dyDescent="0.2">
      <c r="A26" s="142">
        <v>335</v>
      </c>
      <c r="B26" s="2" t="s">
        <v>337</v>
      </c>
      <c r="C26" s="2" t="str">
        <f t="shared" si="0"/>
        <v>Kirchengemeinde Merzhausen-Lauken</v>
      </c>
      <c r="D26" s="3" t="str">
        <f t="shared" si="1"/>
        <v>0335</v>
      </c>
      <c r="E26" s="3" t="str">
        <f t="shared" si="2"/>
        <v>900050335</v>
      </c>
      <c r="F26" s="104">
        <v>900050398</v>
      </c>
      <c r="G26" s="102" t="s">
        <v>314</v>
      </c>
    </row>
    <row r="27" spans="1:7" x14ac:dyDescent="0.2">
      <c r="A27" s="142">
        <v>380</v>
      </c>
      <c r="B27" s="2" t="s">
        <v>338</v>
      </c>
      <c r="C27" s="2" t="str">
        <f t="shared" si="0"/>
        <v>Kirchengemeinde Bad Homburg v.d. Höhe</v>
      </c>
      <c r="D27" s="3" t="str">
        <f t="shared" si="1"/>
        <v>0380</v>
      </c>
      <c r="E27" s="3" t="str">
        <f t="shared" si="2"/>
        <v>900050380</v>
      </c>
      <c r="F27" s="104">
        <v>900050398</v>
      </c>
      <c r="G27" s="102" t="s">
        <v>314</v>
      </c>
    </row>
    <row r="28" spans="1:7" x14ac:dyDescent="0.2">
      <c r="A28" s="142">
        <v>398</v>
      </c>
      <c r="B28" s="2" t="s">
        <v>339</v>
      </c>
      <c r="C28" s="2" t="str">
        <f t="shared" si="0"/>
        <v>Dekanat Hochtaunus</v>
      </c>
      <c r="D28" s="3" t="str">
        <f t="shared" si="1"/>
        <v>0398</v>
      </c>
      <c r="E28" s="3" t="str">
        <f t="shared" si="2"/>
        <v>900050398</v>
      </c>
      <c r="F28" s="104">
        <v>900050398</v>
      </c>
      <c r="G28" s="102" t="s">
        <v>314</v>
      </c>
    </row>
    <row r="29" spans="1:7" x14ac:dyDescent="0.2">
      <c r="A29" s="142">
        <v>3602</v>
      </c>
      <c r="B29" s="2" t="s">
        <v>340</v>
      </c>
      <c r="C29" s="2" t="str">
        <f t="shared" si="0"/>
        <v>Kirchengemeinde Bad Soden</v>
      </c>
      <c r="D29" s="3" t="str">
        <f t="shared" si="1"/>
        <v>3602</v>
      </c>
      <c r="E29" s="3" t="str">
        <f t="shared" si="2"/>
        <v>900053602</v>
      </c>
      <c r="F29" s="3">
        <v>900053698</v>
      </c>
      <c r="G29" s="102" t="s">
        <v>341</v>
      </c>
    </row>
    <row r="30" spans="1:7" x14ac:dyDescent="0.2">
      <c r="A30" s="142">
        <v>3603</v>
      </c>
      <c r="B30" s="2" t="s">
        <v>342</v>
      </c>
      <c r="C30" s="2" t="str">
        <f t="shared" si="0"/>
        <v>Kirchengemeinde Diedenbergen</v>
      </c>
      <c r="D30" s="3" t="str">
        <f t="shared" si="1"/>
        <v>3603</v>
      </c>
      <c r="E30" s="3" t="str">
        <f t="shared" si="2"/>
        <v>900053603</v>
      </c>
      <c r="F30" s="3">
        <v>900053698</v>
      </c>
      <c r="G30" s="102" t="s">
        <v>341</v>
      </c>
    </row>
    <row r="31" spans="1:7" x14ac:dyDescent="0.2">
      <c r="A31" s="142">
        <v>3604</v>
      </c>
      <c r="B31" s="2" t="s">
        <v>343</v>
      </c>
      <c r="C31" s="2" t="str">
        <f t="shared" si="0"/>
        <v>Kirchengemeinde Eddersheim</v>
      </c>
      <c r="D31" s="3" t="str">
        <f t="shared" si="1"/>
        <v>3604</v>
      </c>
      <c r="E31" s="3" t="str">
        <f t="shared" si="2"/>
        <v>900053604</v>
      </c>
      <c r="F31" s="3">
        <v>900053698</v>
      </c>
      <c r="G31" s="102" t="s">
        <v>341</v>
      </c>
    </row>
    <row r="32" spans="1:7" x14ac:dyDescent="0.2">
      <c r="A32" s="142">
        <v>3605</v>
      </c>
      <c r="B32" s="2" t="s">
        <v>344</v>
      </c>
      <c r="C32" s="2" t="str">
        <f t="shared" si="0"/>
        <v>Talkirchengemeinde Eppstein</v>
      </c>
      <c r="D32" s="3" t="str">
        <f t="shared" si="1"/>
        <v>3605</v>
      </c>
      <c r="E32" s="3" t="str">
        <f t="shared" si="2"/>
        <v>900053605</v>
      </c>
      <c r="F32" s="3">
        <v>900053698</v>
      </c>
      <c r="G32" s="102" t="s">
        <v>341</v>
      </c>
    </row>
    <row r="33" spans="1:7" x14ac:dyDescent="0.2">
      <c r="A33" s="142">
        <v>3606</v>
      </c>
      <c r="B33" s="2" t="s">
        <v>345</v>
      </c>
      <c r="C33" s="2" t="str">
        <f t="shared" si="0"/>
        <v>Kirchengemeinde Eschborn</v>
      </c>
      <c r="D33" s="3" t="str">
        <f t="shared" si="1"/>
        <v>3606</v>
      </c>
      <c r="E33" s="3" t="str">
        <f t="shared" si="2"/>
        <v>900053606</v>
      </c>
      <c r="F33" s="3">
        <v>900053698</v>
      </c>
      <c r="G33" s="102" t="s">
        <v>341</v>
      </c>
    </row>
    <row r="34" spans="1:7" x14ac:dyDescent="0.2">
      <c r="A34" s="142">
        <v>3607</v>
      </c>
      <c r="B34" s="2" t="s">
        <v>346</v>
      </c>
      <c r="C34" s="2" t="str">
        <f t="shared" si="0"/>
        <v>Martin-Luther-Gemeinde Falkenstein</v>
      </c>
      <c r="D34" s="3" t="str">
        <f t="shared" si="1"/>
        <v>3607</v>
      </c>
      <c r="E34" s="3" t="str">
        <f t="shared" si="2"/>
        <v>900053607</v>
      </c>
      <c r="F34" s="3">
        <v>900053698</v>
      </c>
      <c r="G34" s="102" t="s">
        <v>341</v>
      </c>
    </row>
    <row r="35" spans="1:7" x14ac:dyDescent="0.2">
      <c r="A35" s="142">
        <v>3609</v>
      </c>
      <c r="B35" s="2" t="s">
        <v>347</v>
      </c>
      <c r="C35" s="2" t="str">
        <f t="shared" si="0"/>
        <v>Kirchengemeinde Hattersheim</v>
      </c>
      <c r="D35" s="3" t="str">
        <f t="shared" si="1"/>
        <v>3609</v>
      </c>
      <c r="E35" s="3" t="str">
        <f t="shared" si="2"/>
        <v>900053609</v>
      </c>
      <c r="F35" s="3">
        <v>900053698</v>
      </c>
      <c r="G35" s="102" t="s">
        <v>341</v>
      </c>
    </row>
    <row r="36" spans="1:7" x14ac:dyDescent="0.2">
      <c r="A36" s="142">
        <v>3610</v>
      </c>
      <c r="B36" s="2" t="s">
        <v>348</v>
      </c>
      <c r="C36" s="2" t="str">
        <f t="shared" si="0"/>
        <v>Johannesgemeinde Hofheim</v>
      </c>
      <c r="D36" s="3" t="str">
        <f t="shared" si="1"/>
        <v>3610</v>
      </c>
      <c r="E36" s="3" t="str">
        <f t="shared" si="2"/>
        <v>900053610</v>
      </c>
      <c r="F36" s="3">
        <v>900053698</v>
      </c>
      <c r="G36" s="102" t="s">
        <v>341</v>
      </c>
    </row>
    <row r="37" spans="1:7" x14ac:dyDescent="0.2">
      <c r="A37" s="142">
        <v>3611</v>
      </c>
      <c r="B37" s="2" t="s">
        <v>349</v>
      </c>
      <c r="C37" s="2" t="str">
        <f t="shared" si="0"/>
        <v>Thomasgemeinde Hofheim</v>
      </c>
      <c r="D37" s="3" t="str">
        <f t="shared" si="1"/>
        <v>3611</v>
      </c>
      <c r="E37" s="3" t="str">
        <f t="shared" si="2"/>
        <v>900053611</v>
      </c>
      <c r="F37" s="3">
        <v>900053698</v>
      </c>
      <c r="G37" s="102" t="s">
        <v>341</v>
      </c>
    </row>
    <row r="38" spans="1:7" x14ac:dyDescent="0.2">
      <c r="A38" s="142">
        <v>3612</v>
      </c>
      <c r="B38" s="2" t="s">
        <v>350</v>
      </c>
      <c r="C38" s="2" t="str">
        <f t="shared" si="0"/>
        <v>Lukasgemeinde Kelkheim</v>
      </c>
      <c r="D38" s="3" t="str">
        <f t="shared" si="1"/>
        <v>3612</v>
      </c>
      <c r="E38" s="3" t="str">
        <f t="shared" si="2"/>
        <v>900053612</v>
      </c>
      <c r="F38" s="3">
        <v>900053698</v>
      </c>
      <c r="G38" s="102" t="s">
        <v>341</v>
      </c>
    </row>
    <row r="39" spans="1:7" x14ac:dyDescent="0.2">
      <c r="A39" s="142">
        <v>3614</v>
      </c>
      <c r="B39" s="2" t="s">
        <v>351</v>
      </c>
      <c r="C39" s="2" t="str">
        <f t="shared" si="0"/>
        <v>Immanuelgemeinde Königstein</v>
      </c>
      <c r="D39" s="3" t="str">
        <f t="shared" si="1"/>
        <v>3614</v>
      </c>
      <c r="E39" s="3" t="str">
        <f t="shared" si="2"/>
        <v>900053614</v>
      </c>
      <c r="F39" s="3">
        <v>900053698</v>
      </c>
      <c r="G39" s="102" t="s">
        <v>341</v>
      </c>
    </row>
    <row r="40" spans="1:7" x14ac:dyDescent="0.2">
      <c r="A40" s="142">
        <v>3615</v>
      </c>
      <c r="B40" s="2" t="s">
        <v>352</v>
      </c>
      <c r="C40" s="2" t="str">
        <f t="shared" si="0"/>
        <v>Auferstehungsgemeinde Kriftel</v>
      </c>
      <c r="D40" s="3" t="str">
        <f t="shared" si="1"/>
        <v>3615</v>
      </c>
      <c r="E40" s="3" t="str">
        <f t="shared" si="2"/>
        <v>900053615</v>
      </c>
      <c r="F40" s="3">
        <v>900053698</v>
      </c>
      <c r="G40" s="102" t="s">
        <v>341</v>
      </c>
    </row>
    <row r="41" spans="1:7" x14ac:dyDescent="0.2">
      <c r="A41" s="142">
        <v>3616</v>
      </c>
      <c r="B41" s="2" t="s">
        <v>353</v>
      </c>
      <c r="C41" s="2" t="str">
        <f t="shared" si="0"/>
        <v>Kirchengemeinde St. Johann Kronberg</v>
      </c>
      <c r="D41" s="3" t="str">
        <f t="shared" si="1"/>
        <v>3616</v>
      </c>
      <c r="E41" s="3" t="str">
        <f t="shared" si="2"/>
        <v>900053616</v>
      </c>
      <c r="F41" s="3">
        <v>900053698</v>
      </c>
      <c r="G41" s="102" t="s">
        <v>341</v>
      </c>
    </row>
    <row r="42" spans="1:7" x14ac:dyDescent="0.2">
      <c r="A42" s="142">
        <v>3617</v>
      </c>
      <c r="B42" s="2" t="s">
        <v>354</v>
      </c>
      <c r="C42" s="2" t="str">
        <f t="shared" si="0"/>
        <v>Kirchengemeinde Langenhain</v>
      </c>
      <c r="D42" s="3" t="str">
        <f t="shared" si="1"/>
        <v>3617</v>
      </c>
      <c r="E42" s="3" t="str">
        <f t="shared" si="2"/>
        <v>900053617</v>
      </c>
      <c r="F42" s="3">
        <v>900053698</v>
      </c>
      <c r="G42" s="102" t="s">
        <v>341</v>
      </c>
    </row>
    <row r="43" spans="1:7" x14ac:dyDescent="0.2">
      <c r="A43" s="142">
        <v>3618</v>
      </c>
      <c r="B43" s="2" t="s">
        <v>355</v>
      </c>
      <c r="C43" s="2" t="str">
        <f t="shared" si="0"/>
        <v>Kirchengemeinde Lorsbach</v>
      </c>
      <c r="D43" s="3" t="str">
        <f t="shared" si="1"/>
        <v>3618</v>
      </c>
      <c r="E43" s="3" t="str">
        <f t="shared" si="2"/>
        <v>900053618</v>
      </c>
      <c r="F43" s="3">
        <v>900053698</v>
      </c>
      <c r="G43" s="102" t="s">
        <v>341</v>
      </c>
    </row>
    <row r="44" spans="1:7" x14ac:dyDescent="0.2">
      <c r="A44" s="142">
        <v>3619</v>
      </c>
      <c r="B44" s="2" t="s">
        <v>356</v>
      </c>
      <c r="C44" s="2" t="str">
        <f t="shared" si="0"/>
        <v>Kirchengemeinde Neuenhain</v>
      </c>
      <c r="D44" s="3" t="str">
        <f t="shared" si="1"/>
        <v>3619</v>
      </c>
      <c r="E44" s="3" t="str">
        <f t="shared" si="2"/>
        <v>900053619</v>
      </c>
      <c r="F44" s="3">
        <v>900053698</v>
      </c>
      <c r="G44" s="102" t="s">
        <v>341</v>
      </c>
    </row>
    <row r="45" spans="1:7" x14ac:dyDescent="0.2">
      <c r="A45" s="142">
        <v>3620</v>
      </c>
      <c r="B45" s="2" t="s">
        <v>357</v>
      </c>
      <c r="C45" s="2" t="str">
        <f t="shared" si="0"/>
        <v>Andreasgemeinde Niederhöchstadt</v>
      </c>
      <c r="D45" s="3" t="str">
        <f t="shared" si="1"/>
        <v>3620</v>
      </c>
      <c r="E45" s="3" t="str">
        <f t="shared" si="2"/>
        <v>900053620</v>
      </c>
      <c r="F45" s="3">
        <v>900053698</v>
      </c>
      <c r="G45" s="102" t="s">
        <v>341</v>
      </c>
    </row>
    <row r="46" spans="1:7" x14ac:dyDescent="0.2">
      <c r="A46" s="142">
        <v>3621</v>
      </c>
      <c r="B46" s="2" t="s">
        <v>358</v>
      </c>
      <c r="C46" s="2" t="str">
        <f t="shared" si="0"/>
        <v>Emmausgemeinde Eppstein</v>
      </c>
      <c r="D46" s="3" t="str">
        <f t="shared" si="1"/>
        <v>3621</v>
      </c>
      <c r="E46" s="3" t="str">
        <f t="shared" si="2"/>
        <v>900053621</v>
      </c>
      <c r="F46" s="3">
        <v>900053698</v>
      </c>
      <c r="G46" s="102" t="s">
        <v>341</v>
      </c>
    </row>
    <row r="47" spans="1:7" x14ac:dyDescent="0.2">
      <c r="A47" s="142">
        <v>3622</v>
      </c>
      <c r="B47" s="2" t="s">
        <v>359</v>
      </c>
      <c r="C47" s="2" t="str">
        <f t="shared" si="0"/>
        <v>Kirchengemeinde Oberhöchstadt</v>
      </c>
      <c r="D47" s="3" t="str">
        <f t="shared" si="1"/>
        <v>3622</v>
      </c>
      <c r="E47" s="3" t="str">
        <f t="shared" si="2"/>
        <v>900053622</v>
      </c>
      <c r="F47" s="3">
        <v>900053698</v>
      </c>
      <c r="G47" s="102" t="s">
        <v>341</v>
      </c>
    </row>
    <row r="48" spans="1:7" x14ac:dyDescent="0.2">
      <c r="A48" s="142">
        <v>3624</v>
      </c>
      <c r="B48" s="2" t="s">
        <v>360</v>
      </c>
      <c r="C48" s="2" t="str">
        <f t="shared" si="0"/>
        <v>Matthäusgemeinde Okriftel</v>
      </c>
      <c r="D48" s="3" t="str">
        <f t="shared" si="1"/>
        <v>3624</v>
      </c>
      <c r="E48" s="3" t="str">
        <f t="shared" si="2"/>
        <v>900053624</v>
      </c>
      <c r="F48" s="3">
        <v>900053698</v>
      </c>
      <c r="G48" s="102" t="s">
        <v>341</v>
      </c>
    </row>
    <row r="49" spans="1:7" x14ac:dyDescent="0.2">
      <c r="A49" s="142">
        <v>3625</v>
      </c>
      <c r="B49" s="2" t="s">
        <v>361</v>
      </c>
      <c r="C49" s="2" t="str">
        <f t="shared" si="0"/>
        <v>Kirchengemeinde Schneidhain</v>
      </c>
      <c r="D49" s="3" t="str">
        <f t="shared" si="1"/>
        <v>3625</v>
      </c>
      <c r="E49" s="3" t="str">
        <f t="shared" si="2"/>
        <v>900053625</v>
      </c>
      <c r="F49" s="3">
        <v>900053698</v>
      </c>
      <c r="G49" s="102" t="s">
        <v>341</v>
      </c>
    </row>
    <row r="50" spans="1:7" x14ac:dyDescent="0.2">
      <c r="A50" s="142">
        <v>3626</v>
      </c>
      <c r="B50" s="2" t="s">
        <v>362</v>
      </c>
      <c r="C50" s="2" t="str">
        <f t="shared" si="0"/>
        <v>Markusgemeinde Schönberg</v>
      </c>
      <c r="D50" s="3" t="str">
        <f t="shared" si="1"/>
        <v>3626</v>
      </c>
      <c r="E50" s="3" t="str">
        <f t="shared" si="2"/>
        <v>900053626</v>
      </c>
      <c r="F50" s="3">
        <v>900053698</v>
      </c>
      <c r="G50" s="102" t="s">
        <v>341</v>
      </c>
    </row>
    <row r="51" spans="1:7" x14ac:dyDescent="0.2">
      <c r="A51" s="142">
        <v>3627</v>
      </c>
      <c r="B51" s="2" t="s">
        <v>363</v>
      </c>
      <c r="C51" s="2" t="str">
        <f t="shared" si="0"/>
        <v>Friedenskirchengemeinde Schwalbach</v>
      </c>
      <c r="D51" s="3" t="str">
        <f t="shared" si="1"/>
        <v>3627</v>
      </c>
      <c r="E51" s="3" t="str">
        <f t="shared" si="2"/>
        <v>900053627</v>
      </c>
      <c r="F51" s="3">
        <v>900053698</v>
      </c>
      <c r="G51" s="102" t="s">
        <v>341</v>
      </c>
    </row>
    <row r="52" spans="1:7" x14ac:dyDescent="0.2">
      <c r="A52" s="142">
        <v>3628</v>
      </c>
      <c r="B52" s="2" t="s">
        <v>364</v>
      </c>
      <c r="C52" s="2" t="str">
        <f t="shared" si="0"/>
        <v>Limesgemeinde Schwalbach</v>
      </c>
      <c r="D52" s="3" t="str">
        <f t="shared" si="1"/>
        <v>3628</v>
      </c>
      <c r="E52" s="3" t="str">
        <f t="shared" si="2"/>
        <v>900053628</v>
      </c>
      <c r="F52" s="3">
        <v>900053698</v>
      </c>
      <c r="G52" s="102" t="s">
        <v>341</v>
      </c>
    </row>
    <row r="53" spans="1:7" x14ac:dyDescent="0.2">
      <c r="A53" s="142">
        <v>3629</v>
      </c>
      <c r="B53" s="2" t="s">
        <v>365</v>
      </c>
      <c r="C53" s="2" t="str">
        <f t="shared" si="0"/>
        <v>Kirchengemeinde Sulzbach</v>
      </c>
      <c r="D53" s="3" t="str">
        <f t="shared" si="1"/>
        <v>3629</v>
      </c>
      <c r="E53" s="3" t="str">
        <f t="shared" si="2"/>
        <v>900053629</v>
      </c>
      <c r="F53" s="3">
        <v>900053698</v>
      </c>
      <c r="G53" s="102" t="s">
        <v>341</v>
      </c>
    </row>
    <row r="54" spans="1:7" x14ac:dyDescent="0.2">
      <c r="A54" s="142">
        <v>3630</v>
      </c>
      <c r="B54" s="2" t="s">
        <v>366</v>
      </c>
      <c r="C54" s="2" t="str">
        <f t="shared" si="0"/>
        <v>Kirchengemeinde Liederbach</v>
      </c>
      <c r="D54" s="3" t="str">
        <f t="shared" si="1"/>
        <v>3630</v>
      </c>
      <c r="E54" s="3" t="str">
        <f t="shared" si="2"/>
        <v>900053630</v>
      </c>
      <c r="F54" s="3">
        <v>900053698</v>
      </c>
      <c r="G54" s="102" t="s">
        <v>341</v>
      </c>
    </row>
    <row r="55" spans="1:7" x14ac:dyDescent="0.2">
      <c r="A55" s="142">
        <v>3631</v>
      </c>
      <c r="B55" s="2" t="s">
        <v>367</v>
      </c>
      <c r="C55" s="2" t="str">
        <f t="shared" si="0"/>
        <v>Kirchengemeinde Flörsheim</v>
      </c>
      <c r="D55" s="3" t="str">
        <f t="shared" si="1"/>
        <v>3631</v>
      </c>
      <c r="E55" s="3" t="str">
        <f t="shared" si="2"/>
        <v>900053631</v>
      </c>
      <c r="F55" s="3">
        <v>900053698</v>
      </c>
      <c r="G55" s="102" t="s">
        <v>341</v>
      </c>
    </row>
    <row r="56" spans="1:7" x14ac:dyDescent="0.2">
      <c r="A56" s="142">
        <v>3632</v>
      </c>
      <c r="B56" s="2" t="s">
        <v>368</v>
      </c>
      <c r="C56" s="2" t="str">
        <f t="shared" si="0"/>
        <v>Kirchengemeinde Weilbach</v>
      </c>
      <c r="D56" s="3" t="str">
        <f t="shared" si="1"/>
        <v>3632</v>
      </c>
      <c r="E56" s="3" t="str">
        <f t="shared" si="2"/>
        <v>900053632</v>
      </c>
      <c r="F56" s="3">
        <v>900053698</v>
      </c>
      <c r="G56" s="102" t="s">
        <v>341</v>
      </c>
    </row>
    <row r="57" spans="1:7" x14ac:dyDescent="0.2">
      <c r="A57" s="142">
        <v>3633</v>
      </c>
      <c r="B57" s="2" t="s">
        <v>369</v>
      </c>
      <c r="C57" s="2" t="str">
        <f t="shared" si="0"/>
        <v>Lukasgemeinde Glashütten</v>
      </c>
      <c r="D57" s="3" t="str">
        <f t="shared" si="1"/>
        <v>3633</v>
      </c>
      <c r="E57" s="3" t="str">
        <f t="shared" si="2"/>
        <v>900053633</v>
      </c>
      <c r="F57" s="3">
        <v>900053698</v>
      </c>
      <c r="G57" s="102" t="s">
        <v>341</v>
      </c>
    </row>
    <row r="58" spans="1:7" x14ac:dyDescent="0.2">
      <c r="A58" s="142">
        <v>3698</v>
      </c>
      <c r="B58" s="2" t="s">
        <v>370</v>
      </c>
      <c r="C58" s="2" t="str">
        <f t="shared" si="0"/>
        <v>Dekanat Kronberg</v>
      </c>
      <c r="D58" s="3" t="str">
        <f t="shared" si="1"/>
        <v>3698</v>
      </c>
      <c r="E58" s="3" t="str">
        <f t="shared" si="2"/>
        <v>900053698</v>
      </c>
      <c r="F58" s="3">
        <v>900053698</v>
      </c>
      <c r="G58" s="102" t="s">
        <v>341</v>
      </c>
    </row>
    <row r="59" spans="1:7" x14ac:dyDescent="0.2">
      <c r="A59" s="242">
        <v>9901</v>
      </c>
      <c r="B59" s="243" t="s">
        <v>371</v>
      </c>
      <c r="C59" s="2" t="str">
        <f t="shared" ref="C59:C79" si="3">B59</f>
        <v>Andreasstiftung</v>
      </c>
      <c r="D59" s="3" t="str">
        <f t="shared" si="1"/>
        <v>9901</v>
      </c>
      <c r="E59" s="3" t="str">
        <f t="shared" si="2"/>
        <v>900059901</v>
      </c>
      <c r="F59" s="3">
        <v>900053698</v>
      </c>
      <c r="G59" s="102" t="s">
        <v>341</v>
      </c>
    </row>
    <row r="60" spans="1:7" x14ac:dyDescent="0.2">
      <c r="A60" s="242">
        <v>9902</v>
      </c>
      <c r="B60" s="243" t="s">
        <v>372</v>
      </c>
      <c r="C60" s="2" t="str">
        <f t="shared" si="3"/>
        <v>Stiftung der Ev. Heilig-Geist-Kirchengemeinde Oberursel</v>
      </c>
      <c r="D60" s="3" t="str">
        <f t="shared" si="1"/>
        <v>9902</v>
      </c>
      <c r="E60" s="3" t="str">
        <f t="shared" si="2"/>
        <v>900059902</v>
      </c>
      <c r="F60" s="104">
        <v>900050398</v>
      </c>
      <c r="G60" s="102" t="s">
        <v>314</v>
      </c>
    </row>
    <row r="61" spans="1:7" x14ac:dyDescent="0.2">
      <c r="A61" s="242">
        <v>9903</v>
      </c>
      <c r="B61" s="243" t="s">
        <v>373</v>
      </c>
      <c r="C61" s="2" t="str">
        <f t="shared" si="3"/>
        <v>Stiftung der Ev. Immanuel-Gemeinde Königstein</v>
      </c>
      <c r="D61" s="3" t="str">
        <f t="shared" si="1"/>
        <v>9903</v>
      </c>
      <c r="E61" s="3" t="str">
        <f t="shared" si="2"/>
        <v>900059903</v>
      </c>
      <c r="F61" s="3">
        <v>900053698</v>
      </c>
      <c r="G61" s="102" t="s">
        <v>341</v>
      </c>
    </row>
    <row r="62" spans="1:7" x14ac:dyDescent="0.2">
      <c r="A62" s="242">
        <v>9904</v>
      </c>
      <c r="B62" s="243" t="s">
        <v>374</v>
      </c>
      <c r="C62" s="2" t="str">
        <f t="shared" si="3"/>
        <v>Treuhandfonds Ev. KGM Bad Soden</v>
      </c>
      <c r="D62" s="3" t="str">
        <f t="shared" si="1"/>
        <v>9904</v>
      </c>
      <c r="E62" s="3" t="str">
        <f t="shared" si="2"/>
        <v>900059904</v>
      </c>
      <c r="F62" s="3">
        <v>900053698</v>
      </c>
      <c r="G62" s="102" t="s">
        <v>341</v>
      </c>
    </row>
    <row r="63" spans="1:7" x14ac:dyDescent="0.2">
      <c r="A63" s="242">
        <v>9905</v>
      </c>
      <c r="B63" s="243" t="s">
        <v>375</v>
      </c>
      <c r="C63" s="2" t="str">
        <f t="shared" si="3"/>
        <v>Stiftung Ev. KGM Bad Soden</v>
      </c>
      <c r="D63" s="3" t="str">
        <f t="shared" si="1"/>
        <v>9905</v>
      </c>
      <c r="E63" s="3" t="str">
        <f t="shared" si="2"/>
        <v>900059905</v>
      </c>
      <c r="F63" s="3">
        <v>900053698</v>
      </c>
      <c r="G63" s="102" t="s">
        <v>341</v>
      </c>
    </row>
    <row r="64" spans="1:7" x14ac:dyDescent="0.2">
      <c r="A64" s="242">
        <v>9906</v>
      </c>
      <c r="B64" s="243" t="s">
        <v>376</v>
      </c>
      <c r="C64" s="2" t="str">
        <f t="shared" si="3"/>
        <v>Stiftung der Ev. Kirchengemeinde Usingen</v>
      </c>
      <c r="D64" s="3" t="str">
        <f t="shared" si="1"/>
        <v>9906</v>
      </c>
      <c r="E64" s="3" t="str">
        <f t="shared" si="2"/>
        <v>900059906</v>
      </c>
      <c r="F64" s="104">
        <v>900050398</v>
      </c>
      <c r="G64" s="102" t="s">
        <v>314</v>
      </c>
    </row>
    <row r="65" spans="1:7" x14ac:dyDescent="0.2">
      <c r="A65" s="242">
        <v>9907</v>
      </c>
      <c r="B65" s="243" t="s">
        <v>377</v>
      </c>
      <c r="C65" s="2" t="str">
        <f t="shared" si="3"/>
        <v>Hattersheim evangelisch-Stiftung</v>
      </c>
      <c r="D65" s="3" t="str">
        <f t="shared" si="1"/>
        <v>9907</v>
      </c>
      <c r="E65" s="3" t="str">
        <f t="shared" si="2"/>
        <v>900059907</v>
      </c>
      <c r="F65" s="3">
        <v>900053698</v>
      </c>
      <c r="G65" s="102" t="s">
        <v>341</v>
      </c>
    </row>
    <row r="66" spans="1:7" x14ac:dyDescent="0.2">
      <c r="A66" s="242">
        <v>9908</v>
      </c>
      <c r="B66" s="243" t="s">
        <v>378</v>
      </c>
      <c r="C66" s="2" t="str">
        <f t="shared" si="3"/>
        <v>Stiftung Hugenottenkirche Friedrichsdorf</v>
      </c>
      <c r="D66" s="3" t="str">
        <f t="shared" ref="D66:D129" si="4">IF(LEN($A66)&lt;=4,LEFT(TEXT($A66,"0000"),4),LEFT(TEXT($A66,"000000"),4))</f>
        <v>9908</v>
      </c>
      <c r="E66" s="3" t="str">
        <f t="shared" ref="E66:E129" si="5">$M$1&amp;$D66</f>
        <v>900059908</v>
      </c>
      <c r="F66" s="104">
        <v>900050398</v>
      </c>
      <c r="G66" s="102" t="s">
        <v>314</v>
      </c>
    </row>
    <row r="67" spans="1:7" x14ac:dyDescent="0.2">
      <c r="A67" s="242">
        <v>9909</v>
      </c>
      <c r="B67" s="243" t="s">
        <v>379</v>
      </c>
      <c r="C67" s="2" t="str">
        <f t="shared" si="3"/>
        <v>Kreuzkirchenstiftung</v>
      </c>
      <c r="D67" s="3" t="str">
        <f t="shared" si="4"/>
        <v>9909</v>
      </c>
      <c r="E67" s="3" t="str">
        <f t="shared" si="5"/>
        <v>900059909</v>
      </c>
      <c r="F67" s="104">
        <v>900050398</v>
      </c>
      <c r="G67" s="102" t="s">
        <v>314</v>
      </c>
    </row>
    <row r="68" spans="1:7" x14ac:dyDescent="0.2">
      <c r="A68" s="242">
        <v>9910</v>
      </c>
      <c r="B68" s="243" t="s">
        <v>380</v>
      </c>
      <c r="C68" s="2" t="str">
        <f t="shared" si="3"/>
        <v>Stiftung der Martin-Luther-Gemeinde Falkenstein</v>
      </c>
      <c r="D68" s="3" t="str">
        <f t="shared" si="4"/>
        <v>9910</v>
      </c>
      <c r="E68" s="3" t="str">
        <f t="shared" si="5"/>
        <v>900059910</v>
      </c>
      <c r="F68" s="3">
        <v>900053698</v>
      </c>
      <c r="G68" s="102" t="s">
        <v>341</v>
      </c>
    </row>
    <row r="69" spans="1:7" x14ac:dyDescent="0.2">
      <c r="A69" s="242">
        <v>9911</v>
      </c>
      <c r="B69" s="243" t="s">
        <v>381</v>
      </c>
      <c r="C69" s="2" t="str">
        <f t="shared" si="3"/>
        <v>Pompilia-Schorr-Treuhandfonds</v>
      </c>
      <c r="D69" s="3" t="str">
        <f t="shared" si="4"/>
        <v>9911</v>
      </c>
      <c r="E69" s="3" t="str">
        <f t="shared" si="5"/>
        <v>900059911</v>
      </c>
      <c r="F69" s="3">
        <v>900053698</v>
      </c>
      <c r="G69" s="102" t="s">
        <v>341</v>
      </c>
    </row>
    <row r="70" spans="1:7" x14ac:dyDescent="0.2">
      <c r="A70" s="242">
        <v>9912</v>
      </c>
      <c r="B70" s="243" t="s">
        <v>382</v>
      </c>
      <c r="C70" s="2" t="str">
        <f t="shared" si="3"/>
        <v>Senfkornstiftung</v>
      </c>
      <c r="D70" s="3" t="str">
        <f t="shared" si="4"/>
        <v>9912</v>
      </c>
      <c r="E70" s="3" t="str">
        <f t="shared" si="5"/>
        <v>900059912</v>
      </c>
      <c r="F70" s="3">
        <v>900053698</v>
      </c>
      <c r="G70" s="102" t="s">
        <v>341</v>
      </c>
    </row>
    <row r="71" spans="1:7" x14ac:dyDescent="0.2">
      <c r="A71" s="242">
        <v>9913</v>
      </c>
      <c r="B71" s="243" t="s">
        <v>383</v>
      </c>
      <c r="C71" s="2" t="str">
        <f t="shared" si="3"/>
        <v>Stiftung der St. Georgsgemeinde Steinbach</v>
      </c>
      <c r="D71" s="3" t="str">
        <f t="shared" si="4"/>
        <v>9913</v>
      </c>
      <c r="E71" s="3" t="str">
        <f t="shared" si="5"/>
        <v>900059913</v>
      </c>
      <c r="F71" s="104">
        <v>900050398</v>
      </c>
      <c r="G71" s="102" t="s">
        <v>314</v>
      </c>
    </row>
    <row r="72" spans="1:7" x14ac:dyDescent="0.2">
      <c r="A72" s="242">
        <v>9914</v>
      </c>
      <c r="B72" s="243" t="s">
        <v>384</v>
      </c>
      <c r="C72" s="2" t="str">
        <f t="shared" si="3"/>
        <v>Stiftung Ste(d)ter Tropfen</v>
      </c>
      <c r="D72" s="3" t="str">
        <f t="shared" si="4"/>
        <v>9914</v>
      </c>
      <c r="E72" s="3" t="str">
        <f t="shared" si="5"/>
        <v>900059914</v>
      </c>
      <c r="F72" s="104">
        <v>900050398</v>
      </c>
      <c r="G72" s="102" t="s">
        <v>314</v>
      </c>
    </row>
    <row r="73" spans="1:7" x14ac:dyDescent="0.2">
      <c r="A73" s="242">
        <v>9915</v>
      </c>
      <c r="B73" s="243" t="s">
        <v>385</v>
      </c>
      <c r="C73" s="2" t="str">
        <f t="shared" si="3"/>
        <v>Stiftung der Ev. Talkirchengemeinde Eppstein</v>
      </c>
      <c r="D73" s="3" t="str">
        <f t="shared" si="4"/>
        <v>9915</v>
      </c>
      <c r="E73" s="3" t="str">
        <f t="shared" si="5"/>
        <v>900059915</v>
      </c>
      <c r="F73" s="3">
        <v>900053698</v>
      </c>
      <c r="G73" s="102" t="s">
        <v>341</v>
      </c>
    </row>
    <row r="74" spans="1:7" x14ac:dyDescent="0.2">
      <c r="A74" s="242">
        <v>9916</v>
      </c>
      <c r="B74" s="243" t="s">
        <v>386</v>
      </c>
      <c r="C74" s="2" t="str">
        <f t="shared" si="3"/>
        <v>Stiftung zur Himmelspforte</v>
      </c>
      <c r="D74" s="3" t="str">
        <f t="shared" si="4"/>
        <v>9916</v>
      </c>
      <c r="E74" s="3" t="str">
        <f t="shared" si="5"/>
        <v>900059916</v>
      </c>
      <c r="F74" s="104">
        <v>900050398</v>
      </c>
      <c r="G74" s="102" t="s">
        <v>314</v>
      </c>
    </row>
    <row r="75" spans="1:7" x14ac:dyDescent="0.2">
      <c r="A75" s="142">
        <v>9917</v>
      </c>
      <c r="B75" s="2" t="s">
        <v>387</v>
      </c>
      <c r="C75" s="2" t="str">
        <f t="shared" si="3"/>
        <v>Bad Homburger Hospizdienst e.V.</v>
      </c>
      <c r="D75" s="3" t="str">
        <f t="shared" si="4"/>
        <v>9917</v>
      </c>
      <c r="E75" s="3" t="str">
        <f t="shared" si="5"/>
        <v>900059917</v>
      </c>
    </row>
    <row r="76" spans="1:7" x14ac:dyDescent="0.2">
      <c r="A76" s="142">
        <v>9918</v>
      </c>
      <c r="B76" s="2" t="s">
        <v>388</v>
      </c>
      <c r="C76" s="2" t="str">
        <f t="shared" si="3"/>
        <v>Zweckverband Diakoniestation Usinger Land</v>
      </c>
      <c r="D76" s="3" t="str">
        <f t="shared" si="4"/>
        <v>9918</v>
      </c>
      <c r="E76" s="3" t="str">
        <f t="shared" si="5"/>
        <v>900059918</v>
      </c>
      <c r="F76" s="104">
        <v>900050398</v>
      </c>
      <c r="G76" s="102" t="s">
        <v>314</v>
      </c>
    </row>
    <row r="77" spans="1:7" x14ac:dyDescent="0.2">
      <c r="A77" s="142">
        <v>9919</v>
      </c>
      <c r="B77" s="2" t="s">
        <v>389</v>
      </c>
      <c r="C77" s="2" t="str">
        <f t="shared" si="3"/>
        <v>Hospitalstiftung Kronberg</v>
      </c>
      <c r="D77" s="3" t="str">
        <f t="shared" si="4"/>
        <v>9919</v>
      </c>
      <c r="E77" s="3" t="str">
        <f t="shared" si="5"/>
        <v>900059919</v>
      </c>
      <c r="F77" s="3">
        <v>900053698</v>
      </c>
      <c r="G77" s="102" t="s">
        <v>341</v>
      </c>
    </row>
    <row r="78" spans="1:7" x14ac:dyDescent="0.2">
      <c r="A78" s="142">
        <v>9920</v>
      </c>
      <c r="B78" s="2" t="s">
        <v>390</v>
      </c>
      <c r="C78" s="2" t="str">
        <f t="shared" si="3"/>
        <v>Stiftung Kirche in Stadt - Eine Stiftung d. Erlöserkirche Bad Homburg</v>
      </c>
      <c r="D78" s="3" t="str">
        <f t="shared" si="4"/>
        <v>9920</v>
      </c>
      <c r="E78" s="3" t="str">
        <f t="shared" si="5"/>
        <v>900059920</v>
      </c>
      <c r="F78" s="104">
        <v>900050398</v>
      </c>
      <c r="G78" s="102" t="s">
        <v>314</v>
      </c>
    </row>
    <row r="79" spans="1:7" x14ac:dyDescent="0.2">
      <c r="A79" s="142">
        <v>9952</v>
      </c>
      <c r="B79" s="2" t="s">
        <v>391</v>
      </c>
      <c r="C79" s="2" t="str">
        <f t="shared" si="3"/>
        <v>Bachchor Ev. Erlöserkirche</v>
      </c>
      <c r="D79" s="3" t="str">
        <f t="shared" si="4"/>
        <v>9952</v>
      </c>
      <c r="E79" s="3" t="str">
        <f t="shared" si="5"/>
        <v>900059952</v>
      </c>
      <c r="F79" s="104">
        <v>900050398</v>
      </c>
      <c r="G79" s="102" t="s">
        <v>314</v>
      </c>
    </row>
    <row r="80" spans="1:7" x14ac:dyDescent="0.2">
      <c r="A80" s="143">
        <v>30303</v>
      </c>
      <c r="B80" s="2" t="s">
        <v>392</v>
      </c>
      <c r="C80" s="2" t="str">
        <f t="shared" ref="C80:C140" si="6">MID(B80,5,100)</f>
        <v>Gedächtniskirche Krippe, Bonhöfferhaus</v>
      </c>
      <c r="D80" s="3" t="str">
        <f t="shared" si="4"/>
        <v>0303</v>
      </c>
      <c r="E80" s="3" t="str">
        <f t="shared" si="5"/>
        <v>900050303</v>
      </c>
      <c r="F80" s="104">
        <v>900050398</v>
      </c>
      <c r="G80" s="102" t="s">
        <v>314</v>
      </c>
    </row>
    <row r="81" spans="1:7" x14ac:dyDescent="0.2">
      <c r="A81" s="143">
        <v>30801</v>
      </c>
      <c r="B81" s="2" t="s">
        <v>393</v>
      </c>
      <c r="C81" s="2" t="str">
        <f t="shared" si="6"/>
        <v>KiTa Köppern</v>
      </c>
      <c r="D81" s="3" t="str">
        <f t="shared" si="4"/>
        <v>0308</v>
      </c>
      <c r="E81" s="3" t="str">
        <f t="shared" si="5"/>
        <v>900050308</v>
      </c>
      <c r="F81" s="104">
        <v>900050398</v>
      </c>
      <c r="G81" s="102" t="s">
        <v>314</v>
      </c>
    </row>
    <row r="82" spans="1:7" x14ac:dyDescent="0.2">
      <c r="A82" s="143">
        <v>31803</v>
      </c>
      <c r="B82" s="2" t="s">
        <v>394</v>
      </c>
      <c r="C82" s="2" t="str">
        <f t="shared" si="6"/>
        <v>KiTa Rosengärtchen, Oberursel Krippe</v>
      </c>
      <c r="D82" s="3" t="str">
        <f t="shared" si="4"/>
        <v>0318</v>
      </c>
      <c r="E82" s="3" t="str">
        <f t="shared" si="5"/>
        <v>900050318</v>
      </c>
      <c r="F82" s="104">
        <v>900050398</v>
      </c>
      <c r="G82" s="102" t="s">
        <v>314</v>
      </c>
    </row>
    <row r="83" spans="1:7" x14ac:dyDescent="0.2">
      <c r="A83" s="143">
        <v>33101</v>
      </c>
      <c r="B83" s="2" t="s">
        <v>395</v>
      </c>
      <c r="C83" s="2" t="str">
        <f t="shared" si="6"/>
        <v>KiTa Usingen</v>
      </c>
      <c r="D83" s="3" t="str">
        <f t="shared" si="4"/>
        <v>0331</v>
      </c>
      <c r="E83" s="3" t="str">
        <f t="shared" si="5"/>
        <v>900050331</v>
      </c>
      <c r="F83" s="104">
        <v>900050398</v>
      </c>
      <c r="G83" s="102" t="s">
        <v>314</v>
      </c>
    </row>
    <row r="84" spans="1:7" x14ac:dyDescent="0.2">
      <c r="A84" s="143">
        <v>33301</v>
      </c>
      <c r="B84" s="2" t="s">
        <v>396</v>
      </c>
      <c r="C84" s="2" t="str">
        <f t="shared" si="6"/>
        <v>KiTa Westerfeld</v>
      </c>
      <c r="D84" s="3" t="str">
        <f t="shared" si="4"/>
        <v>0333</v>
      </c>
      <c r="E84" s="3" t="str">
        <f t="shared" si="5"/>
        <v>900050333</v>
      </c>
      <c r="F84" s="104">
        <v>900050398</v>
      </c>
      <c r="G84" s="102" t="s">
        <v>314</v>
      </c>
    </row>
    <row r="85" spans="1:7" x14ac:dyDescent="0.2">
      <c r="A85" s="143">
        <v>39801</v>
      </c>
      <c r="B85" s="2" t="s">
        <v>397</v>
      </c>
      <c r="C85" s="2" t="str">
        <f t="shared" si="6"/>
        <v>Kita und Hort Erlöserkirche</v>
      </c>
      <c r="D85" s="3" t="str">
        <f t="shared" si="4"/>
        <v>0398</v>
      </c>
      <c r="E85" s="3" t="str">
        <f t="shared" si="5"/>
        <v>900050398</v>
      </c>
      <c r="F85" s="104">
        <v>900050398</v>
      </c>
      <c r="G85" s="102" t="s">
        <v>314</v>
      </c>
    </row>
    <row r="86" spans="1:7" x14ac:dyDescent="0.2">
      <c r="A86" s="143">
        <v>39802</v>
      </c>
      <c r="B86" s="2" t="s">
        <v>398</v>
      </c>
      <c r="C86" s="2" t="str">
        <f t="shared" si="6"/>
        <v>Kleinkinderschule KiTa und Krippe</v>
      </c>
      <c r="D86" s="3" t="str">
        <f t="shared" si="4"/>
        <v>0398</v>
      </c>
      <c r="E86" s="3" t="str">
        <f t="shared" si="5"/>
        <v>900050398</v>
      </c>
      <c r="F86" s="104">
        <v>900050398</v>
      </c>
      <c r="G86" s="102" t="s">
        <v>314</v>
      </c>
    </row>
    <row r="87" spans="1:7" x14ac:dyDescent="0.2">
      <c r="A87" s="143">
        <v>39803</v>
      </c>
      <c r="B87" s="2" t="s">
        <v>399</v>
      </c>
      <c r="C87" s="2" t="str">
        <f t="shared" si="6"/>
        <v>KiTa und Krippe Steinbach</v>
      </c>
      <c r="D87" s="3" t="str">
        <f t="shared" si="4"/>
        <v>0398</v>
      </c>
      <c r="E87" s="3" t="str">
        <f t="shared" si="5"/>
        <v>900050398</v>
      </c>
      <c r="F87" s="104">
        <v>900050398</v>
      </c>
      <c r="G87" s="102" t="s">
        <v>314</v>
      </c>
    </row>
    <row r="88" spans="1:7" x14ac:dyDescent="0.2">
      <c r="A88" s="143">
        <v>39804</v>
      </c>
      <c r="B88" s="2" t="s">
        <v>400</v>
      </c>
      <c r="C88" s="2" t="str">
        <f t="shared" si="6"/>
        <v>KiTa Stierstadt</v>
      </c>
      <c r="D88" s="3" t="str">
        <f t="shared" si="4"/>
        <v>0398</v>
      </c>
      <c r="E88" s="3" t="str">
        <f t="shared" si="5"/>
        <v>900050398</v>
      </c>
      <c r="F88" s="104">
        <v>900050398</v>
      </c>
      <c r="G88" s="102" t="s">
        <v>314</v>
      </c>
    </row>
    <row r="89" spans="1:7" x14ac:dyDescent="0.2">
      <c r="A89" s="143">
        <v>39805</v>
      </c>
      <c r="B89" s="2" t="s">
        <v>401</v>
      </c>
      <c r="C89" s="2" t="str">
        <f t="shared" si="6"/>
        <v>KiTa Christuskirche</v>
      </c>
      <c r="D89" s="3" t="str">
        <f t="shared" si="4"/>
        <v>0398</v>
      </c>
      <c r="E89" s="3" t="str">
        <f t="shared" si="5"/>
        <v>900050398</v>
      </c>
      <c r="F89" s="104">
        <v>900050398</v>
      </c>
      <c r="G89" s="102" t="s">
        <v>314</v>
      </c>
    </row>
    <row r="90" spans="1:7" x14ac:dyDescent="0.2">
      <c r="A90" s="143">
        <v>39806</v>
      </c>
      <c r="B90" s="2" t="s">
        <v>402</v>
      </c>
      <c r="C90" s="2" t="str">
        <f t="shared" si="6"/>
        <v>KiTa und Krippe Arche Noah, Oberursel</v>
      </c>
      <c r="D90" s="3" t="str">
        <f t="shared" si="4"/>
        <v>0398</v>
      </c>
      <c r="E90" s="3" t="str">
        <f t="shared" si="5"/>
        <v>900050398</v>
      </c>
      <c r="F90" s="104">
        <v>900050398</v>
      </c>
      <c r="G90" s="102" t="s">
        <v>314</v>
      </c>
    </row>
    <row r="91" spans="1:7" x14ac:dyDescent="0.2">
      <c r="A91" s="143">
        <v>39807</v>
      </c>
      <c r="B91" s="2" t="s">
        <v>403</v>
      </c>
      <c r="C91" s="2" t="str">
        <f t="shared" si="6"/>
        <v>KiTa und Krippe Kreuzkirche, Oberursel</v>
      </c>
      <c r="D91" s="3" t="str">
        <f t="shared" si="4"/>
        <v>0398</v>
      </c>
      <c r="E91" s="3" t="str">
        <f t="shared" si="5"/>
        <v>900050398</v>
      </c>
      <c r="F91" s="104">
        <v>900050398</v>
      </c>
      <c r="G91" s="102" t="s">
        <v>314</v>
      </c>
    </row>
    <row r="92" spans="1:7" x14ac:dyDescent="0.2">
      <c r="A92" s="143">
        <v>39808</v>
      </c>
      <c r="B92" s="2" t="s">
        <v>404</v>
      </c>
      <c r="C92" s="2" t="str">
        <f t="shared" si="6"/>
        <v>KiTa Hausen-Arnsbach</v>
      </c>
      <c r="D92" s="3" t="str">
        <f t="shared" si="4"/>
        <v>0398</v>
      </c>
      <c r="E92" s="3" t="str">
        <f t="shared" si="5"/>
        <v>900050398</v>
      </c>
      <c r="F92" s="104">
        <v>900050398</v>
      </c>
      <c r="G92" s="102" t="s">
        <v>314</v>
      </c>
    </row>
    <row r="93" spans="1:7" x14ac:dyDescent="0.2">
      <c r="A93" s="143">
        <v>39809</v>
      </c>
      <c r="B93" s="2" t="s">
        <v>405</v>
      </c>
      <c r="C93" s="2" t="str">
        <f t="shared" si="6"/>
        <v>KiTa Falkenstein, Martin-Luther-Gemeinde</v>
      </c>
      <c r="D93" s="3" t="str">
        <f t="shared" si="4"/>
        <v>0398</v>
      </c>
      <c r="E93" s="3" t="str">
        <f t="shared" si="5"/>
        <v>900050398</v>
      </c>
      <c r="F93" s="104">
        <v>900050398</v>
      </c>
      <c r="G93" s="102" t="s">
        <v>314</v>
      </c>
    </row>
    <row r="94" spans="1:7" x14ac:dyDescent="0.2">
      <c r="A94" s="143">
        <v>39810</v>
      </c>
      <c r="B94" s="2" t="s">
        <v>406</v>
      </c>
      <c r="C94" s="2" t="str">
        <f t="shared" si="6"/>
        <v>KiTa Hattersheim</v>
      </c>
      <c r="D94" s="3" t="str">
        <f t="shared" si="4"/>
        <v>0398</v>
      </c>
      <c r="E94" s="3" t="str">
        <f t="shared" si="5"/>
        <v>900050398</v>
      </c>
      <c r="F94" s="104">
        <v>900050398</v>
      </c>
      <c r="G94" s="102" t="s">
        <v>314</v>
      </c>
    </row>
    <row r="95" spans="1:7" x14ac:dyDescent="0.2">
      <c r="A95" s="143">
        <v>39811</v>
      </c>
      <c r="B95" s="2" t="s">
        <v>407</v>
      </c>
      <c r="C95" s="2" t="str">
        <f t="shared" si="6"/>
        <v>KiTa Ritterwiesen, Liederbach</v>
      </c>
      <c r="D95" s="3" t="str">
        <f t="shared" si="4"/>
        <v>0398</v>
      </c>
      <c r="E95" s="3" t="str">
        <f t="shared" si="5"/>
        <v>900050398</v>
      </c>
      <c r="F95" s="3">
        <v>900050398</v>
      </c>
      <c r="G95" s="102" t="s">
        <v>314</v>
      </c>
    </row>
    <row r="96" spans="1:7" x14ac:dyDescent="0.2">
      <c r="A96" s="143">
        <v>39812</v>
      </c>
      <c r="B96" s="2" t="s">
        <v>408</v>
      </c>
      <c r="C96" s="2" t="str">
        <f t="shared" si="6"/>
        <v>KiTa Bahnstraße, Liederbach</v>
      </c>
      <c r="D96" s="3" t="str">
        <f t="shared" si="4"/>
        <v>0398</v>
      </c>
      <c r="E96" s="3" t="str">
        <f t="shared" si="5"/>
        <v>900050398</v>
      </c>
      <c r="F96" s="3">
        <v>900050398</v>
      </c>
      <c r="G96" s="102" t="s">
        <v>314</v>
      </c>
    </row>
    <row r="97" spans="1:7" x14ac:dyDescent="0.2">
      <c r="A97" s="143">
        <v>39813</v>
      </c>
      <c r="B97" s="2" t="s">
        <v>409</v>
      </c>
      <c r="C97" s="2" t="str">
        <f t="shared" si="6"/>
        <v>KiFaz  Rosengärtchen, Oberursel</v>
      </c>
      <c r="D97" s="3" t="str">
        <f t="shared" si="4"/>
        <v>0398</v>
      </c>
      <c r="E97" s="3" t="str">
        <f t="shared" si="5"/>
        <v>900050398</v>
      </c>
      <c r="F97" s="104">
        <v>900050398</v>
      </c>
      <c r="G97" s="102" t="s">
        <v>314</v>
      </c>
    </row>
    <row r="98" spans="1:7" x14ac:dyDescent="0.2">
      <c r="A98" s="143">
        <v>39814</v>
      </c>
      <c r="B98" s="2" t="s">
        <v>410</v>
      </c>
      <c r="C98" s="2" t="str">
        <f t="shared" si="6"/>
        <v>KiTa Rappelkiste Schönberg</v>
      </c>
      <c r="D98" s="3" t="str">
        <f t="shared" si="4"/>
        <v>0398</v>
      </c>
      <c r="E98" s="3" t="str">
        <f t="shared" si="5"/>
        <v>900050398</v>
      </c>
      <c r="F98" s="3">
        <v>900050398</v>
      </c>
      <c r="G98" s="102" t="s">
        <v>314</v>
      </c>
    </row>
    <row r="99" spans="1:7" x14ac:dyDescent="0.2">
      <c r="A99" s="143">
        <v>39816</v>
      </c>
      <c r="B99" s="2" t="s">
        <v>411</v>
      </c>
      <c r="C99" s="2" t="str">
        <f t="shared" si="6"/>
        <v>KiTa Kleine Strolche</v>
      </c>
      <c r="D99" s="3" t="str">
        <f t="shared" si="4"/>
        <v>0398</v>
      </c>
      <c r="E99" s="3" t="str">
        <f t="shared" si="5"/>
        <v>900050398</v>
      </c>
      <c r="F99" s="104">
        <v>900050398</v>
      </c>
      <c r="G99" s="102" t="s">
        <v>314</v>
      </c>
    </row>
    <row r="100" spans="1:7" x14ac:dyDescent="0.2">
      <c r="A100" s="143">
        <v>39817</v>
      </c>
      <c r="B100" s="2" t="s">
        <v>412</v>
      </c>
      <c r="C100" s="2" t="str">
        <f t="shared" si="6"/>
        <v>KiTa Am Bonhoeffer-Haus</v>
      </c>
      <c r="D100" s="3" t="str">
        <f t="shared" si="4"/>
        <v>0398</v>
      </c>
      <c r="E100" s="3" t="str">
        <f t="shared" si="5"/>
        <v>900050398</v>
      </c>
      <c r="F100" s="104">
        <v>900050398</v>
      </c>
      <c r="G100" s="102" t="s">
        <v>314</v>
      </c>
    </row>
    <row r="101" spans="1:7" x14ac:dyDescent="0.2">
      <c r="A101" s="143">
        <v>32001</v>
      </c>
      <c r="B101" s="2" t="s">
        <v>413</v>
      </c>
      <c r="C101" s="2" t="str">
        <f t="shared" si="6"/>
        <v>KiTa Unterm Himmelszelt Neu-Anspach</v>
      </c>
      <c r="D101" s="3" t="str">
        <f t="shared" si="4"/>
        <v>0320</v>
      </c>
      <c r="E101" s="3" t="str">
        <f t="shared" si="5"/>
        <v>900050320</v>
      </c>
      <c r="F101" s="104">
        <v>900050398</v>
      </c>
      <c r="G101" s="102" t="s">
        <v>314</v>
      </c>
    </row>
    <row r="102" spans="1:7" x14ac:dyDescent="0.2">
      <c r="A102" s="143">
        <v>360201</v>
      </c>
      <c r="B102" s="2" t="s">
        <v>414</v>
      </c>
      <c r="C102" s="2" t="str">
        <f t="shared" si="6"/>
        <v>KiTa Unterm Regenbogen, Bad Soden</v>
      </c>
      <c r="D102" s="3" t="str">
        <f t="shared" si="4"/>
        <v>3602</v>
      </c>
      <c r="E102" s="3" t="str">
        <f t="shared" si="5"/>
        <v>900053602</v>
      </c>
      <c r="F102" s="3">
        <v>900053698</v>
      </c>
      <c r="G102" s="102" t="s">
        <v>341</v>
      </c>
    </row>
    <row r="103" spans="1:7" x14ac:dyDescent="0.2">
      <c r="A103" s="143">
        <v>360202</v>
      </c>
      <c r="B103" s="2" t="s">
        <v>415</v>
      </c>
      <c r="C103" s="2" t="str">
        <f t="shared" si="6"/>
        <v>KiTa Im Sonnengarten, Bad Soden</v>
      </c>
      <c r="D103" s="3" t="str">
        <f t="shared" si="4"/>
        <v>3602</v>
      </c>
      <c r="E103" s="3" t="str">
        <f t="shared" si="5"/>
        <v>900053602</v>
      </c>
      <c r="F103" s="3">
        <v>900053698</v>
      </c>
      <c r="G103" s="102" t="s">
        <v>341</v>
      </c>
    </row>
    <row r="104" spans="1:7" x14ac:dyDescent="0.2">
      <c r="A104" s="143">
        <v>360203</v>
      </c>
      <c r="B104" s="2" t="s">
        <v>416</v>
      </c>
      <c r="C104" s="2" t="str">
        <f t="shared" si="6"/>
        <v>Vorkita, Bad Soden</v>
      </c>
      <c r="D104" s="3" t="str">
        <f t="shared" si="4"/>
        <v>3602</v>
      </c>
      <c r="E104" s="3" t="str">
        <f t="shared" si="5"/>
        <v>900053602</v>
      </c>
      <c r="F104" s="3">
        <v>900053698</v>
      </c>
      <c r="G104" s="102" t="s">
        <v>341</v>
      </c>
    </row>
    <row r="105" spans="1:7" x14ac:dyDescent="0.2">
      <c r="A105" s="143">
        <v>360204</v>
      </c>
      <c r="B105" s="2" t="s">
        <v>417</v>
      </c>
      <c r="C105" s="2" t="str">
        <f t="shared" si="6"/>
        <v>Regenbogen Krippe, Bad Soden</v>
      </c>
      <c r="D105" s="3" t="str">
        <f t="shared" si="4"/>
        <v>3602</v>
      </c>
      <c r="E105" s="3" t="str">
        <f t="shared" si="5"/>
        <v>900053602</v>
      </c>
      <c r="F105" s="3">
        <v>900053698</v>
      </c>
      <c r="G105" s="102" t="s">
        <v>341</v>
      </c>
    </row>
    <row r="106" spans="1:7" x14ac:dyDescent="0.2">
      <c r="A106" s="143">
        <v>360301</v>
      </c>
      <c r="B106" s="2" t="s">
        <v>418</v>
      </c>
      <c r="C106" s="2" t="str">
        <f t="shared" si="6"/>
        <v>KiTa Kunterbunt, Diedenbergen</v>
      </c>
      <c r="D106" s="3" t="str">
        <f t="shared" si="4"/>
        <v>3603</v>
      </c>
      <c r="E106" s="3" t="str">
        <f t="shared" si="5"/>
        <v>900053603</v>
      </c>
      <c r="F106" s="3">
        <v>900053698</v>
      </c>
      <c r="G106" s="102" t="s">
        <v>341</v>
      </c>
    </row>
    <row r="107" spans="1:7" x14ac:dyDescent="0.2">
      <c r="A107" s="143">
        <v>360302</v>
      </c>
      <c r="B107" s="2" t="s">
        <v>419</v>
      </c>
      <c r="C107" s="2" t="str">
        <f t="shared" si="6"/>
        <v>KiTa Frechdachs, Diedenbergen</v>
      </c>
      <c r="D107" s="3" t="str">
        <f t="shared" si="4"/>
        <v>3603</v>
      </c>
      <c r="E107" s="3" t="str">
        <f t="shared" si="5"/>
        <v>900053603</v>
      </c>
      <c r="F107" s="3">
        <v>900053698</v>
      </c>
      <c r="G107" s="102" t="s">
        <v>341</v>
      </c>
    </row>
    <row r="108" spans="1:7" x14ac:dyDescent="0.2">
      <c r="A108" s="143">
        <v>360303</v>
      </c>
      <c r="B108" s="2" t="s">
        <v>420</v>
      </c>
      <c r="C108" s="2" t="str">
        <f t="shared" si="6"/>
        <v>enbergen Betreute Grundschule</v>
      </c>
      <c r="D108" s="3" t="str">
        <f t="shared" si="4"/>
        <v>3603</v>
      </c>
      <c r="E108" s="3" t="str">
        <f t="shared" si="5"/>
        <v>900053603</v>
      </c>
      <c r="F108" s="3">
        <v>900053698</v>
      </c>
      <c r="G108" s="102" t="s">
        <v>341</v>
      </c>
    </row>
    <row r="109" spans="1:7" x14ac:dyDescent="0.2">
      <c r="A109" s="143">
        <v>360501</v>
      </c>
      <c r="B109" s="2" t="s">
        <v>421</v>
      </c>
      <c r="C109" s="2" t="str">
        <f t="shared" si="6"/>
        <v>KiTa Eppstein</v>
      </c>
      <c r="D109" s="3" t="str">
        <f t="shared" si="4"/>
        <v>3605</v>
      </c>
      <c r="E109" s="3" t="str">
        <f t="shared" si="5"/>
        <v>900053605</v>
      </c>
      <c r="F109" s="3">
        <v>900053698</v>
      </c>
      <c r="G109" s="102" t="s">
        <v>341</v>
      </c>
    </row>
    <row r="110" spans="1:7" x14ac:dyDescent="0.2">
      <c r="A110" s="143">
        <v>360502</v>
      </c>
      <c r="B110" s="2" t="s">
        <v>422</v>
      </c>
      <c r="C110" s="2" t="str">
        <f t="shared" si="6"/>
        <v>Krippe, Eppstein</v>
      </c>
      <c r="D110" s="3" t="str">
        <f t="shared" si="4"/>
        <v>3605</v>
      </c>
      <c r="E110" s="3" t="str">
        <f t="shared" si="5"/>
        <v>900053605</v>
      </c>
      <c r="F110" s="3">
        <v>900053698</v>
      </c>
      <c r="G110" s="102" t="s">
        <v>341</v>
      </c>
    </row>
    <row r="111" spans="1:7" x14ac:dyDescent="0.2">
      <c r="A111" s="143">
        <v>360601</v>
      </c>
      <c r="B111" s="2" t="s">
        <v>423</v>
      </c>
      <c r="C111" s="2" t="str">
        <f t="shared" si="6"/>
        <v>KiTa Eschborn</v>
      </c>
      <c r="D111" s="3" t="str">
        <f t="shared" si="4"/>
        <v>3606</v>
      </c>
      <c r="E111" s="3" t="str">
        <f t="shared" si="5"/>
        <v>900053606</v>
      </c>
      <c r="F111" s="3">
        <v>900053698</v>
      </c>
      <c r="G111" s="102" t="s">
        <v>341</v>
      </c>
    </row>
    <row r="112" spans="1:7" x14ac:dyDescent="0.2">
      <c r="A112" s="143">
        <v>360902</v>
      </c>
      <c r="B112" s="2" t="s">
        <v>424</v>
      </c>
      <c r="C112" s="2" t="str">
        <f t="shared" si="6"/>
        <v>Krippe Hattersheim</v>
      </c>
      <c r="D112" s="3" t="str">
        <f t="shared" si="4"/>
        <v>3609</v>
      </c>
      <c r="E112" s="3" t="str">
        <f t="shared" si="5"/>
        <v>900053609</v>
      </c>
      <c r="F112" s="3">
        <v>900053698</v>
      </c>
      <c r="G112" s="102" t="s">
        <v>341</v>
      </c>
    </row>
    <row r="113" spans="1:7" x14ac:dyDescent="0.2">
      <c r="A113" s="143">
        <v>361001</v>
      </c>
      <c r="B113" s="2" t="s">
        <v>425</v>
      </c>
      <c r="C113" s="2" t="str">
        <f t="shared" si="6"/>
        <v>KiTa Hofheim-Johannes</v>
      </c>
      <c r="D113" s="3" t="str">
        <f t="shared" si="4"/>
        <v>3610</v>
      </c>
      <c r="E113" s="3" t="str">
        <f t="shared" si="5"/>
        <v>900053610</v>
      </c>
      <c r="F113" s="3">
        <v>900053698</v>
      </c>
      <c r="G113" s="102" t="s">
        <v>341</v>
      </c>
    </row>
    <row r="114" spans="1:7" x14ac:dyDescent="0.2">
      <c r="A114" s="143">
        <v>361002</v>
      </c>
      <c r="B114" s="2" t="s">
        <v>426</v>
      </c>
      <c r="C114" s="2" t="str">
        <f t="shared" si="6"/>
        <v>Krippe Hofheim-Johannes</v>
      </c>
      <c r="D114" s="3" t="str">
        <f t="shared" si="4"/>
        <v>3610</v>
      </c>
      <c r="E114" s="3" t="str">
        <f t="shared" si="5"/>
        <v>900053610</v>
      </c>
      <c r="F114" s="3">
        <v>900053698</v>
      </c>
      <c r="G114" s="102" t="s">
        <v>341</v>
      </c>
    </row>
    <row r="115" spans="1:7" x14ac:dyDescent="0.2">
      <c r="A115" s="143">
        <v>361003</v>
      </c>
      <c r="B115" s="2" t="s">
        <v>427</v>
      </c>
      <c r="C115" s="2" t="str">
        <f t="shared" si="6"/>
        <v>Steinbergschule Hofheim-Johannes</v>
      </c>
      <c r="D115" s="3" t="str">
        <f t="shared" si="4"/>
        <v>3610</v>
      </c>
      <c r="E115" s="3" t="str">
        <f t="shared" si="5"/>
        <v>900053610</v>
      </c>
      <c r="F115" s="3">
        <v>900053698</v>
      </c>
      <c r="G115" s="102" t="s">
        <v>341</v>
      </c>
    </row>
    <row r="116" spans="1:7" x14ac:dyDescent="0.2">
      <c r="A116" s="143">
        <v>361101</v>
      </c>
      <c r="B116" s="2" t="s">
        <v>428</v>
      </c>
      <c r="C116" s="2" t="str">
        <f t="shared" si="6"/>
        <v>KiTa Hofheim-Marxheim</v>
      </c>
      <c r="D116" s="3" t="str">
        <f t="shared" si="4"/>
        <v>3611</v>
      </c>
      <c r="E116" s="3" t="str">
        <f t="shared" si="5"/>
        <v>900053611</v>
      </c>
      <c r="F116" s="3">
        <v>900053698</v>
      </c>
      <c r="G116" s="102" t="s">
        <v>341</v>
      </c>
    </row>
    <row r="117" spans="1:7" x14ac:dyDescent="0.2">
      <c r="A117" s="143">
        <v>361201</v>
      </c>
      <c r="B117" s="2" t="s">
        <v>429</v>
      </c>
      <c r="C117" s="2" t="str">
        <f t="shared" si="6"/>
        <v>KiTa Paulus, Kelkheim</v>
      </c>
      <c r="D117" s="3" t="str">
        <f t="shared" si="4"/>
        <v>3612</v>
      </c>
      <c r="E117" s="3" t="str">
        <f t="shared" si="5"/>
        <v>900053612</v>
      </c>
      <c r="F117" s="3">
        <v>900053698</v>
      </c>
      <c r="G117" s="102" t="s">
        <v>341</v>
      </c>
    </row>
    <row r="118" spans="1:7" x14ac:dyDescent="0.2">
      <c r="A118" s="143">
        <v>361202</v>
      </c>
      <c r="B118" s="2" t="s">
        <v>430</v>
      </c>
      <c r="C118" s="2" t="str">
        <f t="shared" si="6"/>
        <v>KiTa Stephanus, Kelkheim</v>
      </c>
      <c r="D118" s="3" t="str">
        <f t="shared" si="4"/>
        <v>3612</v>
      </c>
      <c r="E118" s="3" t="str">
        <f t="shared" si="5"/>
        <v>900053612</v>
      </c>
      <c r="F118" s="3">
        <v>900053698</v>
      </c>
      <c r="G118" s="102" t="s">
        <v>341</v>
      </c>
    </row>
    <row r="119" spans="1:7" x14ac:dyDescent="0.2">
      <c r="A119" s="143">
        <v>361302</v>
      </c>
      <c r="B119" s="2" t="s">
        <v>431</v>
      </c>
      <c r="C119" s="2" t="str">
        <f t="shared" si="6"/>
        <v>Krippe Stephanus, Kelkheim</v>
      </c>
      <c r="D119" s="3" t="str">
        <f t="shared" si="4"/>
        <v>3613</v>
      </c>
      <c r="E119" s="3" t="str">
        <f t="shared" si="5"/>
        <v>900053613</v>
      </c>
      <c r="F119" s="3">
        <v>900053698</v>
      </c>
      <c r="G119" s="102" t="s">
        <v>341</v>
      </c>
    </row>
    <row r="120" spans="1:7" x14ac:dyDescent="0.2">
      <c r="A120" s="143">
        <v>361401</v>
      </c>
      <c r="B120" s="2" t="s">
        <v>432</v>
      </c>
      <c r="C120" s="2" t="str">
        <f t="shared" si="6"/>
        <v>KiTa Königstein</v>
      </c>
      <c r="D120" s="3" t="str">
        <f t="shared" si="4"/>
        <v>3614</v>
      </c>
      <c r="E120" s="3" t="str">
        <f t="shared" si="5"/>
        <v>900053614</v>
      </c>
      <c r="F120" s="3">
        <v>900053698</v>
      </c>
      <c r="G120" s="102" t="s">
        <v>341</v>
      </c>
    </row>
    <row r="121" spans="1:7" x14ac:dyDescent="0.2">
      <c r="A121" s="143">
        <v>361501</v>
      </c>
      <c r="B121" s="2" t="s">
        <v>433</v>
      </c>
      <c r="C121" s="2" t="str">
        <f t="shared" si="6"/>
        <v>KiTa Kriftel</v>
      </c>
      <c r="D121" s="3" t="str">
        <f t="shared" si="4"/>
        <v>3615</v>
      </c>
      <c r="E121" s="3" t="str">
        <f t="shared" si="5"/>
        <v>900053615</v>
      </c>
      <c r="F121" s="3">
        <v>900053698</v>
      </c>
      <c r="G121" s="102" t="s">
        <v>341</v>
      </c>
    </row>
    <row r="122" spans="1:7" x14ac:dyDescent="0.2">
      <c r="A122" s="143">
        <v>361502</v>
      </c>
      <c r="B122" s="2" t="s">
        <v>434</v>
      </c>
      <c r="C122" s="2" t="str">
        <f t="shared" si="6"/>
        <v>Krippe Kriftel</v>
      </c>
      <c r="D122" s="3" t="str">
        <f t="shared" si="4"/>
        <v>3615</v>
      </c>
      <c r="E122" s="3" t="str">
        <f t="shared" si="5"/>
        <v>900053615</v>
      </c>
      <c r="F122" s="3">
        <v>900053698</v>
      </c>
      <c r="G122" s="102" t="s">
        <v>341</v>
      </c>
    </row>
    <row r="123" spans="1:7" x14ac:dyDescent="0.2">
      <c r="A123" s="143">
        <v>361601</v>
      </c>
      <c r="B123" s="2" t="s">
        <v>435</v>
      </c>
      <c r="C123" s="2" t="str">
        <f t="shared" si="6"/>
        <v>KiTa Kronberg</v>
      </c>
      <c r="D123" s="3" t="str">
        <f t="shared" si="4"/>
        <v>3616</v>
      </c>
      <c r="E123" s="3" t="str">
        <f t="shared" si="5"/>
        <v>900053616</v>
      </c>
      <c r="F123" s="3">
        <v>900053698</v>
      </c>
      <c r="G123" s="102" t="s">
        <v>341</v>
      </c>
    </row>
    <row r="124" spans="1:7" x14ac:dyDescent="0.2">
      <c r="A124" s="143">
        <v>361701</v>
      </c>
      <c r="B124" s="2" t="s">
        <v>436</v>
      </c>
      <c r="C124" s="2" t="str">
        <f t="shared" si="6"/>
        <v>KiTa Langenhain</v>
      </c>
      <c r="D124" s="3" t="str">
        <f t="shared" si="4"/>
        <v>3617</v>
      </c>
      <c r="E124" s="3" t="str">
        <f t="shared" si="5"/>
        <v>900053617</v>
      </c>
      <c r="F124" s="3">
        <v>900053698</v>
      </c>
      <c r="G124" s="102" t="s">
        <v>341</v>
      </c>
    </row>
    <row r="125" spans="1:7" x14ac:dyDescent="0.2">
      <c r="A125" s="143">
        <v>361702</v>
      </c>
      <c r="B125" s="2" t="s">
        <v>437</v>
      </c>
      <c r="C125" s="2" t="str">
        <f t="shared" si="6"/>
        <v>Krippe Langenhain</v>
      </c>
      <c r="D125" s="3" t="str">
        <f t="shared" si="4"/>
        <v>3617</v>
      </c>
      <c r="E125" s="3" t="str">
        <f t="shared" si="5"/>
        <v>900053617</v>
      </c>
      <c r="F125" s="3">
        <v>900053698</v>
      </c>
      <c r="G125" s="102" t="s">
        <v>341</v>
      </c>
    </row>
    <row r="126" spans="1:7" x14ac:dyDescent="0.2">
      <c r="A126" s="143">
        <v>361703</v>
      </c>
      <c r="B126" s="2" t="s">
        <v>438</v>
      </c>
      <c r="C126" s="2" t="str">
        <f t="shared" si="6"/>
        <v>Schule Langenhain</v>
      </c>
      <c r="D126" s="3" t="str">
        <f t="shared" si="4"/>
        <v>3617</v>
      </c>
      <c r="E126" s="3" t="str">
        <f t="shared" si="5"/>
        <v>900053617</v>
      </c>
      <c r="F126" s="3">
        <v>900053698</v>
      </c>
      <c r="G126" s="102" t="s">
        <v>341</v>
      </c>
    </row>
    <row r="127" spans="1:7" x14ac:dyDescent="0.2">
      <c r="A127" s="143">
        <v>361801</v>
      </c>
      <c r="B127" s="2" t="s">
        <v>439</v>
      </c>
      <c r="C127" s="2" t="str">
        <f t="shared" si="6"/>
        <v>KiTa Lorsbach</v>
      </c>
      <c r="D127" s="3" t="str">
        <f t="shared" si="4"/>
        <v>3618</v>
      </c>
      <c r="E127" s="3" t="str">
        <f t="shared" si="5"/>
        <v>900053618</v>
      </c>
      <c r="F127" s="3">
        <v>900053698</v>
      </c>
      <c r="G127" s="102" t="s">
        <v>341</v>
      </c>
    </row>
    <row r="128" spans="1:7" x14ac:dyDescent="0.2">
      <c r="A128" s="143">
        <v>361802</v>
      </c>
      <c r="B128" s="2" t="s">
        <v>440</v>
      </c>
      <c r="C128" s="2" t="str">
        <f t="shared" si="6"/>
        <v>bach Betr. Grundschule</v>
      </c>
      <c r="D128" s="3" t="str">
        <f t="shared" si="4"/>
        <v>3618</v>
      </c>
      <c r="E128" s="3" t="str">
        <f t="shared" si="5"/>
        <v>900053618</v>
      </c>
      <c r="F128" s="3">
        <v>900053698</v>
      </c>
      <c r="G128" s="102" t="s">
        <v>341</v>
      </c>
    </row>
    <row r="129" spans="1:7" x14ac:dyDescent="0.2">
      <c r="A129" s="142">
        <v>361901</v>
      </c>
      <c r="B129" s="2" t="s">
        <v>356</v>
      </c>
      <c r="C129" s="2" t="str">
        <f t="shared" si="6"/>
        <v>Kirchengemeinde Neuenhain</v>
      </c>
      <c r="D129" s="3" t="str">
        <f t="shared" si="4"/>
        <v>3619</v>
      </c>
      <c r="E129" s="3" t="str">
        <f t="shared" si="5"/>
        <v>900053619</v>
      </c>
      <c r="F129" s="3">
        <v>900053698</v>
      </c>
      <c r="G129" s="102" t="s">
        <v>341</v>
      </c>
    </row>
    <row r="130" spans="1:7" x14ac:dyDescent="0.2">
      <c r="A130" s="143">
        <v>361901</v>
      </c>
      <c r="B130" s="2" t="s">
        <v>441</v>
      </c>
      <c r="C130" s="2" t="str">
        <f t="shared" si="6"/>
        <v>KiTa Neuenhain</v>
      </c>
      <c r="D130" s="3" t="str">
        <f t="shared" ref="D130:D140" si="7">IF(LEN($A130)&lt;=4,LEFT(TEXT($A130,"0000"),4),LEFT(TEXT($A130,"000000"),4))</f>
        <v>3619</v>
      </c>
      <c r="E130" s="3" t="str">
        <f t="shared" ref="E130:E140" si="8">$M$1&amp;$D130</f>
        <v>900053619</v>
      </c>
      <c r="F130" s="3">
        <v>900053698</v>
      </c>
      <c r="G130" s="102" t="s">
        <v>341</v>
      </c>
    </row>
    <row r="131" spans="1:7" x14ac:dyDescent="0.2">
      <c r="A131" s="142">
        <v>361902</v>
      </c>
      <c r="B131" s="2" t="s">
        <v>442</v>
      </c>
      <c r="C131" s="2" t="str">
        <f t="shared" si="6"/>
        <v>Kirchengemeinde Neuenhain/Mammolshain</v>
      </c>
      <c r="D131" s="3" t="str">
        <f t="shared" si="7"/>
        <v>3619</v>
      </c>
      <c r="E131" s="3" t="str">
        <f t="shared" si="8"/>
        <v>900053619</v>
      </c>
      <c r="F131" s="3">
        <v>900053698</v>
      </c>
      <c r="G131" s="102" t="s">
        <v>341</v>
      </c>
    </row>
    <row r="132" spans="1:7" x14ac:dyDescent="0.2">
      <c r="A132" s="143">
        <v>361902</v>
      </c>
      <c r="B132" s="2" t="s">
        <v>443</v>
      </c>
      <c r="C132" s="2" t="str">
        <f t="shared" si="6"/>
        <v>Krippe Neuenhain</v>
      </c>
      <c r="D132" s="3" t="str">
        <f t="shared" si="7"/>
        <v>3619</v>
      </c>
      <c r="E132" s="3" t="str">
        <f t="shared" si="8"/>
        <v>900053619</v>
      </c>
      <c r="F132" s="3">
        <v>900053698</v>
      </c>
      <c r="G132" s="102" t="s">
        <v>341</v>
      </c>
    </row>
    <row r="133" spans="1:7" x14ac:dyDescent="0.2">
      <c r="A133" s="142">
        <v>361903</v>
      </c>
      <c r="B133" s="2" t="s">
        <v>444</v>
      </c>
      <c r="C133" s="2" t="str">
        <f t="shared" si="6"/>
        <v>Kirchengemeinde Neuenhain/Augustinum</v>
      </c>
      <c r="D133" s="3" t="str">
        <f t="shared" si="7"/>
        <v>3619</v>
      </c>
      <c r="E133" s="3" t="str">
        <f t="shared" si="8"/>
        <v>900053619</v>
      </c>
      <c r="F133" s="3">
        <v>900053698</v>
      </c>
      <c r="G133" s="102" t="s">
        <v>341</v>
      </c>
    </row>
    <row r="134" spans="1:7" x14ac:dyDescent="0.2">
      <c r="A134" s="143">
        <v>362201</v>
      </c>
      <c r="B134" s="2" t="s">
        <v>445</v>
      </c>
      <c r="C134" s="2" t="str">
        <f t="shared" si="6"/>
        <v>KiTa Oberhöchstadt</v>
      </c>
      <c r="D134" s="3" t="str">
        <f t="shared" si="7"/>
        <v>3622</v>
      </c>
      <c r="E134" s="3" t="str">
        <f t="shared" si="8"/>
        <v>900053622</v>
      </c>
      <c r="F134" s="3">
        <v>900053698</v>
      </c>
      <c r="G134" s="102" t="s">
        <v>341</v>
      </c>
    </row>
    <row r="135" spans="1:7" x14ac:dyDescent="0.2">
      <c r="A135" s="143">
        <v>362602</v>
      </c>
      <c r="B135" s="2" t="s">
        <v>446</v>
      </c>
      <c r="C135" s="2" t="str">
        <f t="shared" si="6"/>
        <v>Krippe Schönberg</v>
      </c>
      <c r="D135" s="3" t="str">
        <f t="shared" si="7"/>
        <v>3626</v>
      </c>
      <c r="E135" s="3" t="str">
        <f t="shared" si="8"/>
        <v>900053626</v>
      </c>
      <c r="F135" s="3">
        <v>900053698</v>
      </c>
      <c r="G135" s="102" t="s">
        <v>341</v>
      </c>
    </row>
    <row r="136" spans="1:7" x14ac:dyDescent="0.2">
      <c r="A136" s="143">
        <v>362701</v>
      </c>
      <c r="B136" s="2" t="s">
        <v>447</v>
      </c>
      <c r="C136" s="2" t="str">
        <f t="shared" si="6"/>
        <v>Friedens KiTa Schwalbach</v>
      </c>
      <c r="D136" s="3" t="str">
        <f t="shared" si="7"/>
        <v>3627</v>
      </c>
      <c r="E136" s="3" t="str">
        <f t="shared" si="8"/>
        <v>900053627</v>
      </c>
      <c r="F136" s="3">
        <v>900053698</v>
      </c>
      <c r="G136" s="102" t="s">
        <v>341</v>
      </c>
    </row>
    <row r="137" spans="1:7" x14ac:dyDescent="0.2">
      <c r="A137" s="143">
        <v>362702</v>
      </c>
      <c r="B137" s="2" t="s">
        <v>448</v>
      </c>
      <c r="C137" s="2" t="str">
        <f t="shared" si="6"/>
        <v>Friedens Krabbelgruppe Schwalbach</v>
      </c>
      <c r="D137" s="3" t="str">
        <f t="shared" si="7"/>
        <v>3627</v>
      </c>
      <c r="E137" s="3" t="str">
        <f t="shared" si="8"/>
        <v>900053627</v>
      </c>
      <c r="F137" s="3">
        <v>900053698</v>
      </c>
      <c r="G137" s="102" t="s">
        <v>341</v>
      </c>
    </row>
    <row r="138" spans="1:7" x14ac:dyDescent="0.2">
      <c r="A138" s="143">
        <v>362801</v>
      </c>
      <c r="B138" s="2" t="s">
        <v>449</v>
      </c>
      <c r="C138" s="2" t="str">
        <f t="shared" si="6"/>
        <v>KiTa Schwalbach - Limes</v>
      </c>
      <c r="D138" s="3" t="str">
        <f t="shared" si="7"/>
        <v>3628</v>
      </c>
      <c r="E138" s="3" t="str">
        <f t="shared" si="8"/>
        <v>900053628</v>
      </c>
      <c r="F138" s="3">
        <v>900053698</v>
      </c>
      <c r="G138" s="102" t="s">
        <v>341</v>
      </c>
    </row>
    <row r="139" spans="1:7" x14ac:dyDescent="0.2">
      <c r="A139" s="143">
        <v>362901</v>
      </c>
      <c r="B139" s="2" t="s">
        <v>450</v>
      </c>
      <c r="C139" s="2" t="str">
        <f t="shared" si="6"/>
        <v>KiTa Sulzbach</v>
      </c>
      <c r="D139" s="3" t="str">
        <f t="shared" si="7"/>
        <v>3629</v>
      </c>
      <c r="E139" s="3" t="str">
        <f t="shared" si="8"/>
        <v>900053629</v>
      </c>
      <c r="F139" s="3">
        <v>900053698</v>
      </c>
      <c r="G139" s="102" t="s">
        <v>341</v>
      </c>
    </row>
    <row r="140" spans="1:7" x14ac:dyDescent="0.2">
      <c r="A140" s="143">
        <v>363101</v>
      </c>
      <c r="B140" s="2" t="s">
        <v>451</v>
      </c>
      <c r="C140" s="2" t="str">
        <f t="shared" si="6"/>
        <v>KiTa Flörsheim</v>
      </c>
      <c r="D140" s="3" t="str">
        <f t="shared" si="7"/>
        <v>3631</v>
      </c>
      <c r="E140" s="3" t="str">
        <f t="shared" si="8"/>
        <v>900053631</v>
      </c>
      <c r="F140" s="3">
        <v>900053698</v>
      </c>
      <c r="G140" s="102" t="s">
        <v>341</v>
      </c>
    </row>
    <row r="141" spans="1:7" x14ac:dyDescent="0.2">
      <c r="A141" s="142"/>
      <c r="D141" s="3"/>
    </row>
    <row r="142" spans="1:7" x14ac:dyDescent="0.2">
      <c r="A142" s="142"/>
      <c r="D142" s="3"/>
    </row>
    <row r="143" spans="1:7" x14ac:dyDescent="0.2">
      <c r="A143" s="142"/>
      <c r="D143" s="3"/>
    </row>
    <row r="144" spans="1:7" x14ac:dyDescent="0.2">
      <c r="A144" s="142"/>
      <c r="D144" s="3"/>
    </row>
    <row r="145" spans="1:4" x14ac:dyDescent="0.2">
      <c r="A145" s="142"/>
      <c r="D145" s="3"/>
    </row>
    <row r="146" spans="1:4" x14ac:dyDescent="0.2">
      <c r="A146" s="142"/>
      <c r="D146" s="3"/>
    </row>
    <row r="147" spans="1:4" x14ac:dyDescent="0.2">
      <c r="A147" s="142"/>
      <c r="D147" s="3"/>
    </row>
    <row r="148" spans="1:4" x14ac:dyDescent="0.2">
      <c r="A148" s="142"/>
      <c r="D148" s="3"/>
    </row>
    <row r="149" spans="1:4" x14ac:dyDescent="0.2">
      <c r="A149" s="142"/>
      <c r="D149" s="3"/>
    </row>
    <row r="150" spans="1:4" x14ac:dyDescent="0.2">
      <c r="A150" s="142"/>
      <c r="D150" s="3"/>
    </row>
    <row r="151" spans="1:4" x14ac:dyDescent="0.2">
      <c r="A151" s="142"/>
      <c r="D151" s="3"/>
    </row>
    <row r="152" spans="1:4" x14ac:dyDescent="0.2">
      <c r="A152" s="142"/>
      <c r="D152" s="3"/>
    </row>
    <row r="153" spans="1:4" x14ac:dyDescent="0.2">
      <c r="A153" s="142"/>
      <c r="D153" s="3"/>
    </row>
    <row r="154" spans="1:4" x14ac:dyDescent="0.2">
      <c r="A154" s="142"/>
      <c r="D154" s="3"/>
    </row>
    <row r="155" spans="1:4" x14ac:dyDescent="0.2">
      <c r="A155" s="142"/>
      <c r="D155" s="3"/>
    </row>
    <row r="156" spans="1:4" x14ac:dyDescent="0.2">
      <c r="A156" s="142"/>
      <c r="D156" s="3"/>
    </row>
    <row r="157" spans="1:4" x14ac:dyDescent="0.2">
      <c r="A157" s="143"/>
      <c r="D157" s="3"/>
    </row>
    <row r="158" spans="1:4" x14ac:dyDescent="0.2">
      <c r="A158" s="143"/>
      <c r="D158" s="3"/>
    </row>
    <row r="159" spans="1:4" x14ac:dyDescent="0.2">
      <c r="A159" s="143"/>
      <c r="D159" s="3"/>
    </row>
    <row r="160" spans="1:4" x14ac:dyDescent="0.2">
      <c r="A160" s="142"/>
      <c r="D160" s="3"/>
    </row>
    <row r="161" spans="1:4" x14ac:dyDescent="0.2">
      <c r="A161" s="142"/>
      <c r="D161" s="3"/>
    </row>
    <row r="162" spans="1:4" x14ac:dyDescent="0.2">
      <c r="A162" s="142"/>
      <c r="D162" s="3"/>
    </row>
    <row r="163" spans="1:4" x14ac:dyDescent="0.2">
      <c r="A163" s="142"/>
      <c r="D163" s="3"/>
    </row>
    <row r="164" spans="1:4" x14ac:dyDescent="0.2">
      <c r="A164" s="142"/>
      <c r="D164" s="3"/>
    </row>
    <row r="165" spans="1:4" x14ac:dyDescent="0.2">
      <c r="A165" s="142"/>
      <c r="D165" s="3"/>
    </row>
    <row r="166" spans="1:4" x14ac:dyDescent="0.2">
      <c r="A166" s="142"/>
      <c r="D166" s="3"/>
    </row>
    <row r="167" spans="1:4" x14ac:dyDescent="0.2">
      <c r="A167" s="142"/>
      <c r="D167" s="3"/>
    </row>
    <row r="168" spans="1:4" x14ac:dyDescent="0.2">
      <c r="A168" s="142"/>
      <c r="D168" s="3"/>
    </row>
    <row r="169" spans="1:4" x14ac:dyDescent="0.2">
      <c r="A169" s="142"/>
      <c r="D169" s="3"/>
    </row>
    <row r="170" spans="1:4" x14ac:dyDescent="0.2">
      <c r="A170" s="142"/>
      <c r="D170" s="3"/>
    </row>
    <row r="171" spans="1:4" x14ac:dyDescent="0.2">
      <c r="A171" s="142"/>
      <c r="D171" s="3"/>
    </row>
    <row r="172" spans="1:4" x14ac:dyDescent="0.2">
      <c r="A172" s="142"/>
      <c r="D172" s="3"/>
    </row>
    <row r="173" spans="1:4" x14ac:dyDescent="0.2">
      <c r="A173" s="142"/>
      <c r="D173" s="3"/>
    </row>
    <row r="174" spans="1:4" x14ac:dyDescent="0.2">
      <c r="A174" s="142"/>
      <c r="D174" s="3"/>
    </row>
    <row r="175" spans="1:4" x14ac:dyDescent="0.2">
      <c r="A175" s="142"/>
      <c r="D175" s="3"/>
    </row>
    <row r="176" spans="1:4" x14ac:dyDescent="0.2">
      <c r="A176" s="142"/>
      <c r="D176" s="3"/>
    </row>
    <row r="177" spans="1:7" x14ac:dyDescent="0.2">
      <c r="A177" s="142"/>
      <c r="D177" s="3"/>
    </row>
    <row r="178" spans="1:7" x14ac:dyDescent="0.2">
      <c r="A178" s="142"/>
      <c r="D178" s="3"/>
    </row>
    <row r="179" spans="1:7" x14ac:dyDescent="0.2">
      <c r="A179" s="142"/>
      <c r="D179" s="3"/>
    </row>
    <row r="180" spans="1:7" x14ac:dyDescent="0.2">
      <c r="A180" s="142"/>
      <c r="D180" s="3"/>
    </row>
    <row r="181" spans="1:7" x14ac:dyDescent="0.2">
      <c r="A181" s="139"/>
      <c r="B181" s="107"/>
      <c r="C181" s="112"/>
      <c r="D181" s="3"/>
      <c r="G181" s="138"/>
    </row>
    <row r="182" spans="1:7" x14ac:dyDescent="0.2">
      <c r="A182" s="139"/>
      <c r="B182" s="107"/>
      <c r="C182" s="112"/>
      <c r="D182" s="3"/>
      <c r="G182" s="138"/>
    </row>
    <row r="183" spans="1:7" x14ac:dyDescent="0.2">
      <c r="A183" s="139"/>
      <c r="B183" s="107"/>
      <c r="C183" s="112"/>
      <c r="D183" s="3"/>
      <c r="G183" s="138"/>
    </row>
    <row r="184" spans="1:7" x14ac:dyDescent="0.2">
      <c r="A184" s="139"/>
      <c r="B184" s="107"/>
      <c r="C184" s="112"/>
      <c r="D184" s="3"/>
      <c r="G184" s="138"/>
    </row>
    <row r="185" spans="1:7" x14ac:dyDescent="0.2">
      <c r="A185" s="139"/>
      <c r="B185" s="107"/>
      <c r="C185" s="112"/>
      <c r="D185" s="3"/>
      <c r="G185" s="138"/>
    </row>
    <row r="186" spans="1:7" x14ac:dyDescent="0.2">
      <c r="A186" s="139"/>
      <c r="B186" s="107"/>
      <c r="C186" s="112"/>
      <c r="D186" s="3"/>
      <c r="G186" s="138"/>
    </row>
    <row r="187" spans="1:7" x14ac:dyDescent="0.2">
      <c r="A187" s="139"/>
      <c r="B187" s="107"/>
      <c r="C187" s="112"/>
      <c r="D187" s="3"/>
      <c r="G187" s="138"/>
    </row>
    <row r="188" spans="1:7" x14ac:dyDescent="0.2">
      <c r="A188" s="139"/>
      <c r="B188" s="107"/>
      <c r="C188" s="112"/>
      <c r="D188" s="3"/>
      <c r="G188" s="138"/>
    </row>
    <row r="189" spans="1:7" x14ac:dyDescent="0.2">
      <c r="A189" s="139"/>
      <c r="B189" s="107"/>
      <c r="C189" s="112"/>
      <c r="D189" s="3"/>
      <c r="G189" s="112"/>
    </row>
    <row r="190" spans="1:7" x14ac:dyDescent="0.2">
      <c r="A190" s="139"/>
      <c r="B190" s="107"/>
      <c r="C190" s="112"/>
      <c r="D190" s="3"/>
      <c r="G190" s="138"/>
    </row>
    <row r="191" spans="1:7" x14ac:dyDescent="0.2">
      <c r="A191" s="139"/>
      <c r="B191" s="107"/>
      <c r="C191" s="112"/>
      <c r="D191" s="3"/>
      <c r="G191" s="138"/>
    </row>
    <row r="192" spans="1:7" x14ac:dyDescent="0.2">
      <c r="A192" s="139"/>
      <c r="B192" s="107"/>
      <c r="C192" s="112"/>
      <c r="D192" s="3"/>
      <c r="G192" s="138"/>
    </row>
    <row r="193" spans="1:7" x14ac:dyDescent="0.2">
      <c r="A193" s="139"/>
      <c r="B193" s="136"/>
      <c r="D193" s="3"/>
      <c r="G193" s="112"/>
    </row>
    <row r="194" spans="1:7" x14ac:dyDescent="0.2">
      <c r="A194" s="139"/>
      <c r="B194" s="136"/>
      <c r="D194" s="3"/>
      <c r="G194" s="112"/>
    </row>
    <row r="195" spans="1:7" x14ac:dyDescent="0.2">
      <c r="A195" s="139"/>
      <c r="B195" s="136"/>
      <c r="D195" s="3"/>
      <c r="G195" s="136"/>
    </row>
    <row r="196" spans="1:7" x14ac:dyDescent="0.2">
      <c r="A196" s="139"/>
      <c r="B196" s="136"/>
      <c r="D196" s="3"/>
      <c r="G196" s="136"/>
    </row>
    <row r="197" spans="1:7" x14ac:dyDescent="0.2">
      <c r="A197" s="139"/>
      <c r="B197" s="136"/>
      <c r="D197" s="3"/>
      <c r="G197" s="136"/>
    </row>
    <row r="198" spans="1:7" x14ac:dyDescent="0.2">
      <c r="A198" s="139"/>
      <c r="B198" s="136"/>
      <c r="D198" s="3"/>
      <c r="G198" s="136"/>
    </row>
    <row r="199" spans="1:7" x14ac:dyDescent="0.2">
      <c r="A199" s="139"/>
      <c r="B199" s="136"/>
      <c r="D199" s="3"/>
      <c r="G199" s="136"/>
    </row>
    <row r="200" spans="1:7" x14ac:dyDescent="0.2">
      <c r="A200" s="139"/>
      <c r="B200" s="136"/>
      <c r="D200" s="3"/>
      <c r="G200" s="136"/>
    </row>
    <row r="201" spans="1:7" x14ac:dyDescent="0.2">
      <c r="A201" s="139"/>
      <c r="B201" s="136"/>
      <c r="D201" s="3"/>
      <c r="G201" s="136"/>
    </row>
    <row r="202" spans="1:7" x14ac:dyDescent="0.2">
      <c r="A202" s="139"/>
      <c r="B202" s="136"/>
      <c r="D202" s="3"/>
      <c r="G202" s="136"/>
    </row>
    <row r="203" spans="1:7" x14ac:dyDescent="0.2">
      <c r="A203" s="139"/>
      <c r="B203" s="136"/>
      <c r="D203" s="3"/>
      <c r="G203" s="136"/>
    </row>
    <row r="204" spans="1:7" x14ac:dyDescent="0.2">
      <c r="A204" s="139"/>
      <c r="B204" s="136"/>
      <c r="D204" s="3"/>
      <c r="G204" s="136"/>
    </row>
    <row r="205" spans="1:7" x14ac:dyDescent="0.2">
      <c r="A205" s="139"/>
      <c r="B205" s="136"/>
      <c r="D205" s="3"/>
      <c r="G205" s="136"/>
    </row>
    <row r="206" spans="1:7" x14ac:dyDescent="0.2">
      <c r="A206" s="139"/>
      <c r="B206" s="136"/>
      <c r="D206" s="3"/>
      <c r="G206" s="136"/>
    </row>
    <row r="207" spans="1:7" x14ac:dyDescent="0.2">
      <c r="A207" s="139"/>
      <c r="B207" s="136"/>
      <c r="D207" s="3"/>
      <c r="G207" s="136"/>
    </row>
    <row r="208" spans="1:7" x14ac:dyDescent="0.2">
      <c r="A208" s="139"/>
      <c r="B208" s="136"/>
      <c r="D208" s="3"/>
      <c r="G208" s="136"/>
    </row>
    <row r="209" spans="1:7" x14ac:dyDescent="0.2">
      <c r="A209" s="139"/>
      <c r="B209" s="136"/>
      <c r="D209" s="3"/>
      <c r="G209" s="136"/>
    </row>
    <row r="210" spans="1:7" x14ac:dyDescent="0.2">
      <c r="A210" s="139"/>
      <c r="B210" s="136"/>
      <c r="D210" s="3"/>
      <c r="G210" s="136"/>
    </row>
    <row r="211" spans="1:7" x14ac:dyDescent="0.2">
      <c r="A211" s="139"/>
      <c r="B211" s="136"/>
      <c r="D211" s="3"/>
      <c r="G211" s="136"/>
    </row>
    <row r="212" spans="1:7" x14ac:dyDescent="0.2">
      <c r="A212" s="139"/>
      <c r="B212" s="136"/>
      <c r="D212" s="3"/>
      <c r="G212" s="136"/>
    </row>
    <row r="213" spans="1:7" x14ac:dyDescent="0.2">
      <c r="A213" s="139"/>
      <c r="B213" s="136"/>
      <c r="D213" s="3"/>
      <c r="G213" s="136"/>
    </row>
    <row r="214" spans="1:7" x14ac:dyDescent="0.2">
      <c r="A214" s="139"/>
      <c r="B214" s="138"/>
      <c r="D214" s="3"/>
      <c r="G214" s="137"/>
    </row>
    <row r="215" spans="1:7" x14ac:dyDescent="0.2">
      <c r="A215" s="139"/>
      <c r="B215" s="138"/>
      <c r="D215" s="3"/>
      <c r="G215" s="137"/>
    </row>
    <row r="216" spans="1:7" x14ac:dyDescent="0.2">
      <c r="A216" s="139"/>
      <c r="B216" s="138"/>
      <c r="D216" s="3"/>
      <c r="G216" s="137"/>
    </row>
    <row r="217" spans="1:7" x14ac:dyDescent="0.2">
      <c r="A217" s="139"/>
      <c r="B217" s="138"/>
      <c r="D217" s="3"/>
      <c r="G217" s="138"/>
    </row>
    <row r="218" spans="1:7" x14ac:dyDescent="0.2">
      <c r="A218" s="139"/>
      <c r="B218" s="138"/>
      <c r="D218" s="3"/>
      <c r="G218" s="138"/>
    </row>
    <row r="219" spans="1:7" x14ac:dyDescent="0.2">
      <c r="A219" s="139"/>
      <c r="B219" s="138"/>
      <c r="D219" s="3"/>
      <c r="G219" s="138"/>
    </row>
    <row r="220" spans="1:7" x14ac:dyDescent="0.2">
      <c r="A220" s="139"/>
      <c r="B220" s="138"/>
      <c r="D220" s="3"/>
      <c r="G220" s="138"/>
    </row>
    <row r="221" spans="1:7" x14ac:dyDescent="0.2">
      <c r="A221" s="139"/>
      <c r="B221" s="138"/>
      <c r="D221" s="3"/>
      <c r="G221" s="138"/>
    </row>
    <row r="222" spans="1:7" x14ac:dyDescent="0.2">
      <c r="A222" s="139"/>
      <c r="B222" s="138"/>
      <c r="D222" s="3"/>
      <c r="G222" s="138"/>
    </row>
    <row r="223" spans="1:7" x14ac:dyDescent="0.2">
      <c r="A223" s="139"/>
      <c r="B223" s="138"/>
      <c r="D223" s="3"/>
      <c r="G223" s="138"/>
    </row>
    <row r="224" spans="1:7" x14ac:dyDescent="0.2">
      <c r="A224" s="139"/>
      <c r="B224" s="138"/>
      <c r="D224" s="3"/>
      <c r="G224" s="138"/>
    </row>
    <row r="225" spans="1:7" x14ac:dyDescent="0.2">
      <c r="A225" s="139"/>
      <c r="B225" s="138"/>
      <c r="D225" s="3"/>
      <c r="G225" s="138"/>
    </row>
    <row r="226" spans="1:7" x14ac:dyDescent="0.2">
      <c r="A226" s="139"/>
      <c r="B226" s="138"/>
      <c r="D226" s="3"/>
      <c r="G226" s="138"/>
    </row>
    <row r="227" spans="1:7" x14ac:dyDescent="0.2">
      <c r="A227" s="139"/>
      <c r="B227" s="138"/>
      <c r="D227" s="3"/>
      <c r="G227" s="138"/>
    </row>
    <row r="228" spans="1:7" x14ac:dyDescent="0.2">
      <c r="A228" s="139"/>
      <c r="B228" s="107"/>
      <c r="D228" s="3"/>
      <c r="G228" s="138"/>
    </row>
    <row r="229" spans="1:7" x14ac:dyDescent="0.2">
      <c r="A229" s="139"/>
      <c r="B229" s="107"/>
      <c r="D229" s="3"/>
      <c r="G229" s="138"/>
    </row>
    <row r="230" spans="1:7" x14ac:dyDescent="0.2">
      <c r="A230" s="139"/>
      <c r="B230" s="107"/>
      <c r="D230" s="3"/>
      <c r="G230" s="138"/>
    </row>
    <row r="231" spans="1:7" x14ac:dyDescent="0.2">
      <c r="A231" s="139"/>
      <c r="B231" s="107"/>
      <c r="D231" s="3"/>
      <c r="G231" s="138"/>
    </row>
    <row r="232" spans="1:7" x14ac:dyDescent="0.2">
      <c r="A232" s="139"/>
      <c r="B232" s="107"/>
      <c r="D232" s="3"/>
      <c r="G232" s="138"/>
    </row>
    <row r="233" spans="1:7" x14ac:dyDescent="0.2">
      <c r="A233" s="139"/>
      <c r="B233" s="107"/>
      <c r="D233" s="3"/>
      <c r="G233" s="138"/>
    </row>
    <row r="234" spans="1:7" x14ac:dyDescent="0.2">
      <c r="A234" s="139"/>
      <c r="B234" s="107"/>
      <c r="D234" s="3"/>
      <c r="G234" s="138"/>
    </row>
    <row r="235" spans="1:7" x14ac:dyDescent="0.2">
      <c r="A235" s="139"/>
      <c r="B235" s="107"/>
      <c r="D235" s="3"/>
      <c r="G235" s="138"/>
    </row>
    <row r="236" spans="1:7" x14ac:dyDescent="0.2">
      <c r="A236" s="139"/>
      <c r="B236" s="107"/>
      <c r="D236" s="3"/>
      <c r="G236" s="138"/>
    </row>
    <row r="237" spans="1:7" x14ac:dyDescent="0.2">
      <c r="A237" s="139"/>
      <c r="B237" s="138"/>
      <c r="D237" s="3"/>
      <c r="G237" s="138"/>
    </row>
    <row r="238" spans="1:7" x14ac:dyDescent="0.2">
      <c r="A238" s="139"/>
      <c r="B238" s="138"/>
      <c r="D238" s="3"/>
      <c r="G238" s="138"/>
    </row>
    <row r="239" spans="1:7" x14ac:dyDescent="0.2">
      <c r="A239" s="139"/>
      <c r="B239" s="138"/>
      <c r="D239" s="3"/>
      <c r="G239" s="138"/>
    </row>
    <row r="240" spans="1:7" x14ac:dyDescent="0.2">
      <c r="A240" s="139"/>
      <c r="B240" s="138"/>
      <c r="D240" s="3"/>
      <c r="G240" s="138"/>
    </row>
    <row r="241" spans="1:7" x14ac:dyDescent="0.2">
      <c r="A241" s="139"/>
      <c r="B241" s="138"/>
      <c r="D241" s="3"/>
      <c r="G241" s="138"/>
    </row>
    <row r="242" spans="1:7" x14ac:dyDescent="0.2">
      <c r="A242" s="139"/>
      <c r="B242" s="138"/>
      <c r="D242" s="3"/>
      <c r="G242" s="138"/>
    </row>
    <row r="243" spans="1:7" x14ac:dyDescent="0.2">
      <c r="A243" s="139"/>
      <c r="B243" s="138"/>
      <c r="D243" s="3"/>
      <c r="G243" s="138"/>
    </row>
    <row r="244" spans="1:7" x14ac:dyDescent="0.2">
      <c r="A244" s="139"/>
      <c r="B244" s="138"/>
      <c r="D244" s="3"/>
      <c r="G244" s="138"/>
    </row>
    <row r="245" spans="1:7" x14ac:dyDescent="0.2">
      <c r="A245" s="139"/>
      <c r="B245" s="138"/>
      <c r="D245" s="3"/>
      <c r="G245" s="138"/>
    </row>
    <row r="246" spans="1:7" x14ac:dyDescent="0.2">
      <c r="A246" s="139"/>
      <c r="B246" s="138"/>
      <c r="D246" s="3"/>
      <c r="G246" s="138"/>
    </row>
    <row r="247" spans="1:7" x14ac:dyDescent="0.2">
      <c r="A247" s="139"/>
      <c r="B247" s="138"/>
      <c r="D247" s="3"/>
      <c r="G247" s="138"/>
    </row>
    <row r="248" spans="1:7" x14ac:dyDescent="0.2">
      <c r="A248" s="139"/>
      <c r="B248" s="138"/>
      <c r="D248" s="3"/>
      <c r="G248" s="138"/>
    </row>
    <row r="249" spans="1:7" x14ac:dyDescent="0.2">
      <c r="A249" s="139"/>
      <c r="B249" s="138"/>
      <c r="D249" s="3"/>
      <c r="G249" s="138"/>
    </row>
    <row r="250" spans="1:7" x14ac:dyDescent="0.2">
      <c r="A250" s="139"/>
      <c r="B250" s="107"/>
      <c r="D250" s="3"/>
      <c r="G250" s="138"/>
    </row>
    <row r="251" spans="1:7" x14ac:dyDescent="0.2">
      <c r="A251" s="139"/>
      <c r="B251" s="107"/>
      <c r="D251" s="3"/>
      <c r="G251" s="138"/>
    </row>
    <row r="252" spans="1:7" x14ac:dyDescent="0.2">
      <c r="A252" s="139"/>
      <c r="B252" s="107"/>
      <c r="D252" s="3"/>
      <c r="G252" s="138"/>
    </row>
    <row r="253" spans="1:7" x14ac:dyDescent="0.2">
      <c r="A253" s="139"/>
      <c r="B253" s="107"/>
      <c r="D253" s="3"/>
      <c r="G253" s="138"/>
    </row>
    <row r="254" spans="1:7" x14ac:dyDescent="0.2">
      <c r="A254" s="139"/>
      <c r="B254" s="107"/>
      <c r="D254" s="3"/>
      <c r="G254" s="138"/>
    </row>
    <row r="255" spans="1:7" x14ac:dyDescent="0.2">
      <c r="A255" s="139"/>
      <c r="B255" s="107"/>
      <c r="D255" s="3"/>
      <c r="G255" s="138"/>
    </row>
    <row r="256" spans="1:7" x14ac:dyDescent="0.2">
      <c r="A256" s="139"/>
      <c r="B256" s="107"/>
      <c r="D256" s="3"/>
      <c r="G256" s="138"/>
    </row>
    <row r="257" spans="1:7" x14ac:dyDescent="0.2">
      <c r="A257" s="139"/>
      <c r="B257" s="107"/>
      <c r="D257" s="3"/>
      <c r="G257" s="138"/>
    </row>
    <row r="258" spans="1:7" x14ac:dyDescent="0.2">
      <c r="A258" s="139"/>
      <c r="B258" s="107"/>
      <c r="D258" s="3"/>
      <c r="G258" s="138"/>
    </row>
    <row r="259" spans="1:7" x14ac:dyDescent="0.2">
      <c r="A259" s="139"/>
      <c r="B259" s="107"/>
      <c r="D259" s="3"/>
      <c r="G259" s="138"/>
    </row>
    <row r="260" spans="1:7" x14ac:dyDescent="0.2">
      <c r="A260" s="139"/>
      <c r="B260" s="107"/>
      <c r="D260" s="3"/>
      <c r="G260" s="138"/>
    </row>
    <row r="261" spans="1:7" x14ac:dyDescent="0.2">
      <c r="A261" s="139"/>
      <c r="B261" s="107"/>
      <c r="D261" s="3"/>
      <c r="G261" s="138"/>
    </row>
    <row r="262" spans="1:7" x14ac:dyDescent="0.2">
      <c r="A262" s="139"/>
      <c r="B262" s="107"/>
      <c r="D262" s="3"/>
      <c r="G262" s="138"/>
    </row>
    <row r="263" spans="1:7" x14ac:dyDescent="0.2">
      <c r="A263" s="139"/>
      <c r="B263" s="107"/>
      <c r="D263" s="3"/>
      <c r="G263" s="138"/>
    </row>
    <row r="264" spans="1:7" x14ac:dyDescent="0.2">
      <c r="A264" s="139"/>
      <c r="B264" s="107"/>
      <c r="D264" s="3"/>
      <c r="G264" s="138"/>
    </row>
    <row r="265" spans="1:7" x14ac:dyDescent="0.2">
      <c r="A265" s="139"/>
      <c r="B265" s="107"/>
      <c r="D265" s="3"/>
      <c r="G265" s="138"/>
    </row>
    <row r="266" spans="1:7" x14ac:dyDescent="0.2">
      <c r="A266" s="139"/>
      <c r="B266" s="107"/>
      <c r="D266" s="3"/>
      <c r="G266" s="138"/>
    </row>
    <row r="267" spans="1:7" x14ac:dyDescent="0.2">
      <c r="A267" s="139"/>
      <c r="B267" s="138"/>
      <c r="D267" s="3"/>
      <c r="G267" s="138"/>
    </row>
    <row r="268" spans="1:7" x14ac:dyDescent="0.2">
      <c r="A268" s="139"/>
      <c r="B268" s="107"/>
      <c r="D268" s="3"/>
      <c r="G268" s="138"/>
    </row>
  </sheetData>
  <sheetProtection algorithmName="SHA-512" hashValue="sMCm7/MFc//97pSC0L6EVvKCR5pt9hr5yhMPRvdBR5cvDoVQH9kxqXWLERP+asoi1tMncaWFvxMVeT4wsLDLlA==" saltValue="bvOpAGdLeS8VpzXwCKz7OA==" spinCount="100000" sheet="1" selectLockedCells="1" selectUnlockedCells="1"/>
  <pageMargins left="0.78740157499999996" right="0.78740157499999996" top="0.984251969" bottom="0.984251969" header="0.4921259845" footer="0.4921259845"/>
  <pageSetup paperSize="9" orientation="portrait" horizontalDpi="1200" verticalDpi="12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dimension ref="A1:P70"/>
  <sheetViews>
    <sheetView showGridLines="0" zoomScale="90" zoomScaleNormal="90" workbookViewId="0">
      <selection activeCell="G23" sqref="G23"/>
    </sheetView>
  </sheetViews>
  <sheetFormatPr baseColWidth="10" defaultRowHeight="12.75" x14ac:dyDescent="0.2"/>
  <cols>
    <col min="1" max="1" width="11.42578125" style="28"/>
    <col min="2" max="2" width="2.28515625" style="28" customWidth="1"/>
    <col min="3" max="4" width="6.42578125" style="27" customWidth="1"/>
    <col min="5" max="5" width="10.42578125" style="30" customWidth="1"/>
    <col min="6" max="6" width="45.5703125" style="28" bestFit="1" customWidth="1"/>
    <col min="7" max="7" width="32.85546875" style="28" customWidth="1"/>
    <col min="8" max="8" width="6" style="28" bestFit="1" customWidth="1"/>
    <col min="9" max="9" width="2" style="28" customWidth="1"/>
    <col min="10" max="10" width="6.42578125" style="27" customWidth="1"/>
    <col min="11" max="11" width="10.42578125" style="30" customWidth="1"/>
    <col min="12" max="12" width="37.42578125" style="28" customWidth="1"/>
    <col min="13" max="13" width="45.5703125" style="28" bestFit="1" customWidth="1"/>
    <col min="14" max="14" width="11.85546875" style="28" customWidth="1"/>
    <col min="15" max="15" width="47.140625" style="28" bestFit="1" customWidth="1"/>
    <col min="16" max="17" width="11.42578125" style="28"/>
    <col min="18" max="18" width="45.5703125" style="28" bestFit="1" customWidth="1"/>
    <col min="19" max="257" width="11.42578125" style="28"/>
    <col min="258" max="258" width="14" style="28" customWidth="1"/>
    <col min="259" max="263" width="11.42578125" style="28"/>
    <col min="264" max="264" width="8.85546875" style="28" customWidth="1"/>
    <col min="265" max="265" width="11.42578125" style="28"/>
    <col min="266" max="266" width="11.140625" style="28" customWidth="1"/>
    <col min="267" max="513" width="11.42578125" style="28"/>
    <col min="514" max="514" width="14" style="28" customWidth="1"/>
    <col min="515" max="519" width="11.42578125" style="28"/>
    <col min="520" max="520" width="8.85546875" style="28" customWidth="1"/>
    <col min="521" max="521" width="11.42578125" style="28"/>
    <col min="522" max="522" width="11.140625" style="28" customWidth="1"/>
    <col min="523" max="769" width="11.42578125" style="28"/>
    <col min="770" max="770" width="14" style="28" customWidth="1"/>
    <col min="771" max="775" width="11.42578125" style="28"/>
    <col min="776" max="776" width="8.85546875" style="28" customWidth="1"/>
    <col min="777" max="777" width="11.42578125" style="28"/>
    <col min="778" max="778" width="11.140625" style="28" customWidth="1"/>
    <col min="779" max="1025" width="11.42578125" style="28"/>
    <col min="1026" max="1026" width="14" style="28" customWidth="1"/>
    <col min="1027" max="1031" width="11.42578125" style="28"/>
    <col min="1032" max="1032" width="8.85546875" style="28" customWidth="1"/>
    <col min="1033" max="1033" width="11.42578125" style="28"/>
    <col min="1034" max="1034" width="11.140625" style="28" customWidth="1"/>
    <col min="1035" max="1281" width="11.42578125" style="28"/>
    <col min="1282" max="1282" width="14" style="28" customWidth="1"/>
    <col min="1283" max="1287" width="11.42578125" style="28"/>
    <col min="1288" max="1288" width="8.85546875" style="28" customWidth="1"/>
    <col min="1289" max="1289" width="11.42578125" style="28"/>
    <col min="1290" max="1290" width="11.140625" style="28" customWidth="1"/>
    <col min="1291" max="1537" width="11.42578125" style="28"/>
    <col min="1538" max="1538" width="14" style="28" customWidth="1"/>
    <col min="1539" max="1543" width="11.42578125" style="28"/>
    <col min="1544" max="1544" width="8.85546875" style="28" customWidth="1"/>
    <col min="1545" max="1545" width="11.42578125" style="28"/>
    <col min="1546" max="1546" width="11.140625" style="28" customWidth="1"/>
    <col min="1547" max="1793" width="11.42578125" style="28"/>
    <col min="1794" max="1794" width="14" style="28" customWidth="1"/>
    <col min="1795" max="1799" width="11.42578125" style="28"/>
    <col min="1800" max="1800" width="8.85546875" style="28" customWidth="1"/>
    <col min="1801" max="1801" width="11.42578125" style="28"/>
    <col min="1802" max="1802" width="11.140625" style="28" customWidth="1"/>
    <col min="1803" max="2049" width="11.42578125" style="28"/>
    <col min="2050" max="2050" width="14" style="28" customWidth="1"/>
    <col min="2051" max="2055" width="11.42578125" style="28"/>
    <col min="2056" max="2056" width="8.85546875" style="28" customWidth="1"/>
    <col min="2057" max="2057" width="11.42578125" style="28"/>
    <col min="2058" max="2058" width="11.140625" style="28" customWidth="1"/>
    <col min="2059" max="2305" width="11.42578125" style="28"/>
    <col min="2306" max="2306" width="14" style="28" customWidth="1"/>
    <col min="2307" max="2311" width="11.42578125" style="28"/>
    <col min="2312" max="2312" width="8.85546875" style="28" customWidth="1"/>
    <col min="2313" max="2313" width="11.42578125" style="28"/>
    <col min="2314" max="2314" width="11.140625" style="28" customWidth="1"/>
    <col min="2315" max="2561" width="11.42578125" style="28"/>
    <col min="2562" max="2562" width="14" style="28" customWidth="1"/>
    <col min="2563" max="2567" width="11.42578125" style="28"/>
    <col min="2568" max="2568" width="8.85546875" style="28" customWidth="1"/>
    <col min="2569" max="2569" width="11.42578125" style="28"/>
    <col min="2570" max="2570" width="11.140625" style="28" customWidth="1"/>
    <col min="2571" max="2817" width="11.42578125" style="28"/>
    <col min="2818" max="2818" width="14" style="28" customWidth="1"/>
    <col min="2819" max="2823" width="11.42578125" style="28"/>
    <col min="2824" max="2824" width="8.85546875" style="28" customWidth="1"/>
    <col min="2825" max="2825" width="11.42578125" style="28"/>
    <col min="2826" max="2826" width="11.140625" style="28" customWidth="1"/>
    <col min="2827" max="3073" width="11.42578125" style="28"/>
    <col min="3074" max="3074" width="14" style="28" customWidth="1"/>
    <col min="3075" max="3079" width="11.42578125" style="28"/>
    <col min="3080" max="3080" width="8.85546875" style="28" customWidth="1"/>
    <col min="3081" max="3081" width="11.42578125" style="28"/>
    <col min="3082" max="3082" width="11.140625" style="28" customWidth="1"/>
    <col min="3083" max="3329" width="11.42578125" style="28"/>
    <col min="3330" max="3330" width="14" style="28" customWidth="1"/>
    <col min="3331" max="3335" width="11.42578125" style="28"/>
    <col min="3336" max="3336" width="8.85546875" style="28" customWidth="1"/>
    <col min="3337" max="3337" width="11.42578125" style="28"/>
    <col min="3338" max="3338" width="11.140625" style="28" customWidth="1"/>
    <col min="3339" max="3585" width="11.42578125" style="28"/>
    <col min="3586" max="3586" width="14" style="28" customWidth="1"/>
    <col min="3587" max="3591" width="11.42578125" style="28"/>
    <col min="3592" max="3592" width="8.85546875" style="28" customWidth="1"/>
    <col min="3593" max="3593" width="11.42578125" style="28"/>
    <col min="3594" max="3594" width="11.140625" style="28" customWidth="1"/>
    <col min="3595" max="3841" width="11.42578125" style="28"/>
    <col min="3842" max="3842" width="14" style="28" customWidth="1"/>
    <col min="3843" max="3847" width="11.42578125" style="28"/>
    <col min="3848" max="3848" width="8.85546875" style="28" customWidth="1"/>
    <col min="3849" max="3849" width="11.42578125" style="28"/>
    <col min="3850" max="3850" width="11.140625" style="28" customWidth="1"/>
    <col min="3851" max="4097" width="11.42578125" style="28"/>
    <col min="4098" max="4098" width="14" style="28" customWidth="1"/>
    <col min="4099" max="4103" width="11.42578125" style="28"/>
    <col min="4104" max="4104" width="8.85546875" style="28" customWidth="1"/>
    <col min="4105" max="4105" width="11.42578125" style="28"/>
    <col min="4106" max="4106" width="11.140625" style="28" customWidth="1"/>
    <col min="4107" max="4353" width="11.42578125" style="28"/>
    <col min="4354" max="4354" width="14" style="28" customWidth="1"/>
    <col min="4355" max="4359" width="11.42578125" style="28"/>
    <col min="4360" max="4360" width="8.85546875" style="28" customWidth="1"/>
    <col min="4361" max="4361" width="11.42578125" style="28"/>
    <col min="4362" max="4362" width="11.140625" style="28" customWidth="1"/>
    <col min="4363" max="4609" width="11.42578125" style="28"/>
    <col min="4610" max="4610" width="14" style="28" customWidth="1"/>
    <col min="4611" max="4615" width="11.42578125" style="28"/>
    <col min="4616" max="4616" width="8.85546875" style="28" customWidth="1"/>
    <col min="4617" max="4617" width="11.42578125" style="28"/>
    <col min="4618" max="4618" width="11.140625" style="28" customWidth="1"/>
    <col min="4619" max="4865" width="11.42578125" style="28"/>
    <col min="4866" max="4866" width="14" style="28" customWidth="1"/>
    <col min="4867" max="4871" width="11.42578125" style="28"/>
    <col min="4872" max="4872" width="8.85546875" style="28" customWidth="1"/>
    <col min="4873" max="4873" width="11.42578125" style="28"/>
    <col min="4874" max="4874" width="11.140625" style="28" customWidth="1"/>
    <col min="4875" max="5121" width="11.42578125" style="28"/>
    <col min="5122" max="5122" width="14" style="28" customWidth="1"/>
    <col min="5123" max="5127" width="11.42578125" style="28"/>
    <col min="5128" max="5128" width="8.85546875" style="28" customWidth="1"/>
    <col min="5129" max="5129" width="11.42578125" style="28"/>
    <col min="5130" max="5130" width="11.140625" style="28" customWidth="1"/>
    <col min="5131" max="5377" width="11.42578125" style="28"/>
    <col min="5378" max="5378" width="14" style="28" customWidth="1"/>
    <col min="5379" max="5383" width="11.42578125" style="28"/>
    <col min="5384" max="5384" width="8.85546875" style="28" customWidth="1"/>
    <col min="5385" max="5385" width="11.42578125" style="28"/>
    <col min="5386" max="5386" width="11.140625" style="28" customWidth="1"/>
    <col min="5387" max="5633" width="11.42578125" style="28"/>
    <col min="5634" max="5634" width="14" style="28" customWidth="1"/>
    <col min="5635" max="5639" width="11.42578125" style="28"/>
    <col min="5640" max="5640" width="8.85546875" style="28" customWidth="1"/>
    <col min="5641" max="5641" width="11.42578125" style="28"/>
    <col min="5642" max="5642" width="11.140625" style="28" customWidth="1"/>
    <col min="5643" max="5889" width="11.42578125" style="28"/>
    <col min="5890" max="5890" width="14" style="28" customWidth="1"/>
    <col min="5891" max="5895" width="11.42578125" style="28"/>
    <col min="5896" max="5896" width="8.85546875" style="28" customWidth="1"/>
    <col min="5897" max="5897" width="11.42578125" style="28"/>
    <col min="5898" max="5898" width="11.140625" style="28" customWidth="1"/>
    <col min="5899" max="6145" width="11.42578125" style="28"/>
    <col min="6146" max="6146" width="14" style="28" customWidth="1"/>
    <col min="6147" max="6151" width="11.42578125" style="28"/>
    <col min="6152" max="6152" width="8.85546875" style="28" customWidth="1"/>
    <col min="6153" max="6153" width="11.42578125" style="28"/>
    <col min="6154" max="6154" width="11.140625" style="28" customWidth="1"/>
    <col min="6155" max="6401" width="11.42578125" style="28"/>
    <col min="6402" max="6402" width="14" style="28" customWidth="1"/>
    <col min="6403" max="6407" width="11.42578125" style="28"/>
    <col min="6408" max="6408" width="8.85546875" style="28" customWidth="1"/>
    <col min="6409" max="6409" width="11.42578125" style="28"/>
    <col min="6410" max="6410" width="11.140625" style="28" customWidth="1"/>
    <col min="6411" max="6657" width="11.42578125" style="28"/>
    <col min="6658" max="6658" width="14" style="28" customWidth="1"/>
    <col min="6659" max="6663" width="11.42578125" style="28"/>
    <col min="6664" max="6664" width="8.85546875" style="28" customWidth="1"/>
    <col min="6665" max="6665" width="11.42578125" style="28"/>
    <col min="6666" max="6666" width="11.140625" style="28" customWidth="1"/>
    <col min="6667" max="6913" width="11.42578125" style="28"/>
    <col min="6914" max="6914" width="14" style="28" customWidth="1"/>
    <col min="6915" max="6919" width="11.42578125" style="28"/>
    <col min="6920" max="6920" width="8.85546875" style="28" customWidth="1"/>
    <col min="6921" max="6921" width="11.42578125" style="28"/>
    <col min="6922" max="6922" width="11.140625" style="28" customWidth="1"/>
    <col min="6923" max="7169" width="11.42578125" style="28"/>
    <col min="7170" max="7170" width="14" style="28" customWidth="1"/>
    <col min="7171" max="7175" width="11.42578125" style="28"/>
    <col min="7176" max="7176" width="8.85546875" style="28" customWidth="1"/>
    <col min="7177" max="7177" width="11.42578125" style="28"/>
    <col min="7178" max="7178" width="11.140625" style="28" customWidth="1"/>
    <col min="7179" max="7425" width="11.42578125" style="28"/>
    <col min="7426" max="7426" width="14" style="28" customWidth="1"/>
    <col min="7427" max="7431" width="11.42578125" style="28"/>
    <col min="7432" max="7432" width="8.85546875" style="28" customWidth="1"/>
    <col min="7433" max="7433" width="11.42578125" style="28"/>
    <col min="7434" max="7434" width="11.140625" style="28" customWidth="1"/>
    <col min="7435" max="7681" width="11.42578125" style="28"/>
    <col min="7682" max="7682" width="14" style="28" customWidth="1"/>
    <col min="7683" max="7687" width="11.42578125" style="28"/>
    <col min="7688" max="7688" width="8.85546875" style="28" customWidth="1"/>
    <col min="7689" max="7689" width="11.42578125" style="28"/>
    <col min="7690" max="7690" width="11.140625" style="28" customWidth="1"/>
    <col min="7691" max="7937" width="11.42578125" style="28"/>
    <col min="7938" max="7938" width="14" style="28" customWidth="1"/>
    <col min="7939" max="7943" width="11.42578125" style="28"/>
    <col min="7944" max="7944" width="8.85546875" style="28" customWidth="1"/>
    <col min="7945" max="7945" width="11.42578125" style="28"/>
    <col min="7946" max="7946" width="11.140625" style="28" customWidth="1"/>
    <col min="7947" max="8193" width="11.42578125" style="28"/>
    <col min="8194" max="8194" width="14" style="28" customWidth="1"/>
    <col min="8195" max="8199" width="11.42578125" style="28"/>
    <col min="8200" max="8200" width="8.85546875" style="28" customWidth="1"/>
    <col min="8201" max="8201" width="11.42578125" style="28"/>
    <col min="8202" max="8202" width="11.140625" style="28" customWidth="1"/>
    <col min="8203" max="8449" width="11.42578125" style="28"/>
    <col min="8450" max="8450" width="14" style="28" customWidth="1"/>
    <col min="8451" max="8455" width="11.42578125" style="28"/>
    <col min="8456" max="8456" width="8.85546875" style="28" customWidth="1"/>
    <col min="8457" max="8457" width="11.42578125" style="28"/>
    <col min="8458" max="8458" width="11.140625" style="28" customWidth="1"/>
    <col min="8459" max="8705" width="11.42578125" style="28"/>
    <col min="8706" max="8706" width="14" style="28" customWidth="1"/>
    <col min="8707" max="8711" width="11.42578125" style="28"/>
    <col min="8712" max="8712" width="8.85546875" style="28" customWidth="1"/>
    <col min="8713" max="8713" width="11.42578125" style="28"/>
    <col min="8714" max="8714" width="11.140625" style="28" customWidth="1"/>
    <col min="8715" max="8961" width="11.42578125" style="28"/>
    <col min="8962" max="8962" width="14" style="28" customWidth="1"/>
    <col min="8963" max="8967" width="11.42578125" style="28"/>
    <col min="8968" max="8968" width="8.85546875" style="28" customWidth="1"/>
    <col min="8969" max="8969" width="11.42578125" style="28"/>
    <col min="8970" max="8970" width="11.140625" style="28" customWidth="1"/>
    <col min="8971" max="9217" width="11.42578125" style="28"/>
    <col min="9218" max="9218" width="14" style="28" customWidth="1"/>
    <col min="9219" max="9223" width="11.42578125" style="28"/>
    <col min="9224" max="9224" width="8.85546875" style="28" customWidth="1"/>
    <col min="9225" max="9225" width="11.42578125" style="28"/>
    <col min="9226" max="9226" width="11.140625" style="28" customWidth="1"/>
    <col min="9227" max="9473" width="11.42578125" style="28"/>
    <col min="9474" max="9474" width="14" style="28" customWidth="1"/>
    <col min="9475" max="9479" width="11.42578125" style="28"/>
    <col min="9480" max="9480" width="8.85546875" style="28" customWidth="1"/>
    <col min="9481" max="9481" width="11.42578125" style="28"/>
    <col min="9482" max="9482" width="11.140625" style="28" customWidth="1"/>
    <col min="9483" max="9729" width="11.42578125" style="28"/>
    <col min="9730" max="9730" width="14" style="28" customWidth="1"/>
    <col min="9731" max="9735" width="11.42578125" style="28"/>
    <col min="9736" max="9736" width="8.85546875" style="28" customWidth="1"/>
    <col min="9737" max="9737" width="11.42578125" style="28"/>
    <col min="9738" max="9738" width="11.140625" style="28" customWidth="1"/>
    <col min="9739" max="9985" width="11.42578125" style="28"/>
    <col min="9986" max="9986" width="14" style="28" customWidth="1"/>
    <col min="9987" max="9991" width="11.42578125" style="28"/>
    <col min="9992" max="9992" width="8.85546875" style="28" customWidth="1"/>
    <col min="9993" max="9993" width="11.42578125" style="28"/>
    <col min="9994" max="9994" width="11.140625" style="28" customWidth="1"/>
    <col min="9995" max="10241" width="11.42578125" style="28"/>
    <col min="10242" max="10242" width="14" style="28" customWidth="1"/>
    <col min="10243" max="10247" width="11.42578125" style="28"/>
    <col min="10248" max="10248" width="8.85546875" style="28" customWidth="1"/>
    <col min="10249" max="10249" width="11.42578125" style="28"/>
    <col min="10250" max="10250" width="11.140625" style="28" customWidth="1"/>
    <col min="10251" max="10497" width="11.42578125" style="28"/>
    <col min="10498" max="10498" width="14" style="28" customWidth="1"/>
    <col min="10499" max="10503" width="11.42578125" style="28"/>
    <col min="10504" max="10504" width="8.85546875" style="28" customWidth="1"/>
    <col min="10505" max="10505" width="11.42578125" style="28"/>
    <col min="10506" max="10506" width="11.140625" style="28" customWidth="1"/>
    <col min="10507" max="10753" width="11.42578125" style="28"/>
    <col min="10754" max="10754" width="14" style="28" customWidth="1"/>
    <col min="10755" max="10759" width="11.42578125" style="28"/>
    <col min="10760" max="10760" width="8.85546875" style="28" customWidth="1"/>
    <col min="10761" max="10761" width="11.42578125" style="28"/>
    <col min="10762" max="10762" width="11.140625" style="28" customWidth="1"/>
    <col min="10763" max="11009" width="11.42578125" style="28"/>
    <col min="11010" max="11010" width="14" style="28" customWidth="1"/>
    <col min="11011" max="11015" width="11.42578125" style="28"/>
    <col min="11016" max="11016" width="8.85546875" style="28" customWidth="1"/>
    <col min="11017" max="11017" width="11.42578125" style="28"/>
    <col min="11018" max="11018" width="11.140625" style="28" customWidth="1"/>
    <col min="11019" max="11265" width="11.42578125" style="28"/>
    <col min="11266" max="11266" width="14" style="28" customWidth="1"/>
    <col min="11267" max="11271" width="11.42578125" style="28"/>
    <col min="11272" max="11272" width="8.85546875" style="28" customWidth="1"/>
    <col min="11273" max="11273" width="11.42578125" style="28"/>
    <col min="11274" max="11274" width="11.140625" style="28" customWidth="1"/>
    <col min="11275" max="11521" width="11.42578125" style="28"/>
    <col min="11522" max="11522" width="14" style="28" customWidth="1"/>
    <col min="11523" max="11527" width="11.42578125" style="28"/>
    <col min="11528" max="11528" width="8.85546875" style="28" customWidth="1"/>
    <col min="11529" max="11529" width="11.42578125" style="28"/>
    <col min="11530" max="11530" width="11.140625" style="28" customWidth="1"/>
    <col min="11531" max="11777" width="11.42578125" style="28"/>
    <col min="11778" max="11778" width="14" style="28" customWidth="1"/>
    <col min="11779" max="11783" width="11.42578125" style="28"/>
    <col min="11784" max="11784" width="8.85546875" style="28" customWidth="1"/>
    <col min="11785" max="11785" width="11.42578125" style="28"/>
    <col min="11786" max="11786" width="11.140625" style="28" customWidth="1"/>
    <col min="11787" max="12033" width="11.42578125" style="28"/>
    <col min="12034" max="12034" width="14" style="28" customWidth="1"/>
    <col min="12035" max="12039" width="11.42578125" style="28"/>
    <col min="12040" max="12040" width="8.85546875" style="28" customWidth="1"/>
    <col min="12041" max="12041" width="11.42578125" style="28"/>
    <col min="12042" max="12042" width="11.140625" style="28" customWidth="1"/>
    <col min="12043" max="12289" width="11.42578125" style="28"/>
    <col min="12290" max="12290" width="14" style="28" customWidth="1"/>
    <col min="12291" max="12295" width="11.42578125" style="28"/>
    <col min="12296" max="12296" width="8.85546875" style="28" customWidth="1"/>
    <col min="12297" max="12297" width="11.42578125" style="28"/>
    <col min="12298" max="12298" width="11.140625" style="28" customWidth="1"/>
    <col min="12299" max="12545" width="11.42578125" style="28"/>
    <col min="12546" max="12546" width="14" style="28" customWidth="1"/>
    <col min="12547" max="12551" width="11.42578125" style="28"/>
    <col min="12552" max="12552" width="8.85546875" style="28" customWidth="1"/>
    <col min="12553" max="12553" width="11.42578125" style="28"/>
    <col min="12554" max="12554" width="11.140625" style="28" customWidth="1"/>
    <col min="12555" max="12801" width="11.42578125" style="28"/>
    <col min="12802" max="12802" width="14" style="28" customWidth="1"/>
    <col min="12803" max="12807" width="11.42578125" style="28"/>
    <col min="12808" max="12808" width="8.85546875" style="28" customWidth="1"/>
    <col min="12809" max="12809" width="11.42578125" style="28"/>
    <col min="12810" max="12810" width="11.140625" style="28" customWidth="1"/>
    <col min="12811" max="13057" width="11.42578125" style="28"/>
    <col min="13058" max="13058" width="14" style="28" customWidth="1"/>
    <col min="13059" max="13063" width="11.42578125" style="28"/>
    <col min="13064" max="13064" width="8.85546875" style="28" customWidth="1"/>
    <col min="13065" max="13065" width="11.42578125" style="28"/>
    <col min="13066" max="13066" width="11.140625" style="28" customWidth="1"/>
    <col min="13067" max="13313" width="11.42578125" style="28"/>
    <col min="13314" max="13314" width="14" style="28" customWidth="1"/>
    <col min="13315" max="13319" width="11.42578125" style="28"/>
    <col min="13320" max="13320" width="8.85546875" style="28" customWidth="1"/>
    <col min="13321" max="13321" width="11.42578125" style="28"/>
    <col min="13322" max="13322" width="11.140625" style="28" customWidth="1"/>
    <col min="13323" max="13569" width="11.42578125" style="28"/>
    <col min="13570" max="13570" width="14" style="28" customWidth="1"/>
    <col min="13571" max="13575" width="11.42578125" style="28"/>
    <col min="13576" max="13576" width="8.85546875" style="28" customWidth="1"/>
    <col min="13577" max="13577" width="11.42578125" style="28"/>
    <col min="13578" max="13578" width="11.140625" style="28" customWidth="1"/>
    <col min="13579" max="13825" width="11.42578125" style="28"/>
    <col min="13826" max="13826" width="14" style="28" customWidth="1"/>
    <col min="13827" max="13831" width="11.42578125" style="28"/>
    <col min="13832" max="13832" width="8.85546875" style="28" customWidth="1"/>
    <col min="13833" max="13833" width="11.42578125" style="28"/>
    <col min="13834" max="13834" width="11.140625" style="28" customWidth="1"/>
    <col min="13835" max="14081" width="11.42578125" style="28"/>
    <col min="14082" max="14082" width="14" style="28" customWidth="1"/>
    <col min="14083" max="14087" width="11.42578125" style="28"/>
    <col min="14088" max="14088" width="8.85546875" style="28" customWidth="1"/>
    <col min="14089" max="14089" width="11.42578125" style="28"/>
    <col min="14090" max="14090" width="11.140625" style="28" customWidth="1"/>
    <col min="14091" max="14337" width="11.42578125" style="28"/>
    <col min="14338" max="14338" width="14" style="28" customWidth="1"/>
    <col min="14339" max="14343" width="11.42578125" style="28"/>
    <col min="14344" max="14344" width="8.85546875" style="28" customWidth="1"/>
    <col min="14345" max="14345" width="11.42578125" style="28"/>
    <col min="14346" max="14346" width="11.140625" style="28" customWidth="1"/>
    <col min="14347" max="14593" width="11.42578125" style="28"/>
    <col min="14594" max="14594" width="14" style="28" customWidth="1"/>
    <col min="14595" max="14599" width="11.42578125" style="28"/>
    <col min="14600" max="14600" width="8.85546875" style="28" customWidth="1"/>
    <col min="14601" max="14601" width="11.42578125" style="28"/>
    <col min="14602" max="14602" width="11.140625" style="28" customWidth="1"/>
    <col min="14603" max="14849" width="11.42578125" style="28"/>
    <col min="14850" max="14850" width="14" style="28" customWidth="1"/>
    <col min="14851" max="14855" width="11.42578125" style="28"/>
    <col min="14856" max="14856" width="8.85546875" style="28" customWidth="1"/>
    <col min="14857" max="14857" width="11.42578125" style="28"/>
    <col min="14858" max="14858" width="11.140625" style="28" customWidth="1"/>
    <col min="14859" max="15105" width="11.42578125" style="28"/>
    <col min="15106" max="15106" width="14" style="28" customWidth="1"/>
    <col min="15107" max="15111" width="11.42578125" style="28"/>
    <col min="15112" max="15112" width="8.85546875" style="28" customWidth="1"/>
    <col min="15113" max="15113" width="11.42578125" style="28"/>
    <col min="15114" max="15114" width="11.140625" style="28" customWidth="1"/>
    <col min="15115" max="15361" width="11.42578125" style="28"/>
    <col min="15362" max="15362" width="14" style="28" customWidth="1"/>
    <col min="15363" max="15367" width="11.42578125" style="28"/>
    <col min="15368" max="15368" width="8.85546875" style="28" customWidth="1"/>
    <col min="15369" max="15369" width="11.42578125" style="28"/>
    <col min="15370" max="15370" width="11.140625" style="28" customWidth="1"/>
    <col min="15371" max="15617" width="11.42578125" style="28"/>
    <col min="15618" max="15618" width="14" style="28" customWidth="1"/>
    <col min="15619" max="15623" width="11.42578125" style="28"/>
    <col min="15624" max="15624" width="8.85546875" style="28" customWidth="1"/>
    <col min="15625" max="15625" width="11.42578125" style="28"/>
    <col min="15626" max="15626" width="11.140625" style="28" customWidth="1"/>
    <col min="15627" max="15873" width="11.42578125" style="28"/>
    <col min="15874" max="15874" width="14" style="28" customWidth="1"/>
    <col min="15875" max="15879" width="11.42578125" style="28"/>
    <col min="15880" max="15880" width="8.85546875" style="28" customWidth="1"/>
    <col min="15881" max="15881" width="11.42578125" style="28"/>
    <col min="15882" max="15882" width="11.140625" style="28" customWidth="1"/>
    <col min="15883" max="16129" width="11.42578125" style="28"/>
    <col min="16130" max="16130" width="14" style="28" customWidth="1"/>
    <col min="16131" max="16135" width="11.42578125" style="28"/>
    <col min="16136" max="16136" width="8.85546875" style="28" customWidth="1"/>
    <col min="16137" max="16137" width="11.42578125" style="28"/>
    <col min="16138" max="16138" width="11.140625" style="28" customWidth="1"/>
    <col min="16139" max="16384" width="11.42578125" style="28"/>
  </cols>
  <sheetData>
    <row r="1" spans="1:16" s="26" customFormat="1" ht="42.75" customHeight="1" x14ac:dyDescent="0.2">
      <c r="A1" s="26" t="s">
        <v>98</v>
      </c>
      <c r="C1" s="25" t="s">
        <v>59</v>
      </c>
      <c r="D1" s="25"/>
      <c r="E1" s="31" t="s">
        <v>71</v>
      </c>
      <c r="F1" s="32" t="s">
        <v>113</v>
      </c>
      <c r="G1" s="32" t="s">
        <v>112</v>
      </c>
      <c r="H1" s="32" t="s">
        <v>156</v>
      </c>
      <c r="J1" s="25" t="s">
        <v>59</v>
      </c>
      <c r="K1" s="31" t="s">
        <v>70</v>
      </c>
      <c r="L1" s="32" t="s">
        <v>113</v>
      </c>
      <c r="M1" s="32" t="s">
        <v>112</v>
      </c>
      <c r="N1" s="32"/>
      <c r="O1" s="193" t="s">
        <v>268</v>
      </c>
      <c r="P1" s="193"/>
    </row>
    <row r="2" spans="1:16" ht="12.75" customHeight="1" x14ac:dyDescent="0.2">
      <c r="A2" s="28" t="s">
        <v>96</v>
      </c>
      <c r="C2" s="27">
        <v>1</v>
      </c>
      <c r="D2" s="27">
        <v>101</v>
      </c>
      <c r="E2" s="27">
        <v>482300</v>
      </c>
      <c r="F2" s="30" t="s">
        <v>39</v>
      </c>
      <c r="G2" s="28" t="s">
        <v>210</v>
      </c>
      <c r="H2" s="27" t="s">
        <v>203</v>
      </c>
      <c r="J2" s="27">
        <v>101</v>
      </c>
      <c r="K2" s="27">
        <v>694100</v>
      </c>
      <c r="L2" s="28" t="s">
        <v>48</v>
      </c>
      <c r="M2" s="28" t="s">
        <v>48</v>
      </c>
      <c r="N2" s="27">
        <v>101</v>
      </c>
      <c r="O2" s="193"/>
      <c r="P2" s="193"/>
    </row>
    <row r="3" spans="1:16" x14ac:dyDescent="0.2">
      <c r="A3" s="28" t="s">
        <v>95</v>
      </c>
      <c r="C3" s="27">
        <v>2</v>
      </c>
      <c r="D3" s="27">
        <v>102</v>
      </c>
      <c r="E3" s="27">
        <v>482200</v>
      </c>
      <c r="F3" s="30" t="s">
        <v>209</v>
      </c>
      <c r="G3" s="28" t="s">
        <v>211</v>
      </c>
      <c r="H3" s="27" t="s">
        <v>203</v>
      </c>
      <c r="J3" s="27">
        <v>102</v>
      </c>
      <c r="K3" s="27">
        <v>691410</v>
      </c>
      <c r="L3" s="28" t="s">
        <v>147</v>
      </c>
      <c r="M3" s="28" t="s">
        <v>147</v>
      </c>
      <c r="N3" s="27">
        <v>102</v>
      </c>
      <c r="O3" s="193"/>
      <c r="P3" s="193"/>
    </row>
    <row r="4" spans="1:16" x14ac:dyDescent="0.2">
      <c r="C4" s="27">
        <v>3</v>
      </c>
      <c r="D4" s="27">
        <v>103</v>
      </c>
      <c r="E4" s="27">
        <v>474900</v>
      </c>
      <c r="F4" s="28" t="s">
        <v>38</v>
      </c>
      <c r="G4" s="28" t="s">
        <v>212</v>
      </c>
      <c r="H4" s="109">
        <v>0</v>
      </c>
      <c r="J4" s="27">
        <v>103</v>
      </c>
      <c r="K4" s="27">
        <v>711500</v>
      </c>
      <c r="L4" s="28" t="s">
        <v>206</v>
      </c>
      <c r="M4" s="28" t="s">
        <v>206</v>
      </c>
      <c r="N4" s="27">
        <v>103</v>
      </c>
    </row>
    <row r="5" spans="1:16" x14ac:dyDescent="0.2">
      <c r="C5" s="27">
        <v>4</v>
      </c>
      <c r="D5" s="27">
        <v>104</v>
      </c>
      <c r="E5" s="27">
        <v>401410</v>
      </c>
      <c r="F5" s="30" t="s">
        <v>179</v>
      </c>
      <c r="G5" s="30" t="s">
        <v>158</v>
      </c>
      <c r="H5" s="109">
        <v>0.19</v>
      </c>
      <c r="J5" s="27">
        <v>104</v>
      </c>
      <c r="K5" s="27">
        <v>769100</v>
      </c>
      <c r="L5" s="28" t="s">
        <v>83</v>
      </c>
      <c r="M5" s="28" t="s">
        <v>83</v>
      </c>
      <c r="N5" s="27">
        <v>104</v>
      </c>
    </row>
    <row r="6" spans="1:16" x14ac:dyDescent="0.2">
      <c r="C6" s="27">
        <v>5</v>
      </c>
      <c r="D6" s="27">
        <v>105</v>
      </c>
      <c r="E6" s="27">
        <v>401420</v>
      </c>
      <c r="F6" s="30" t="s">
        <v>180</v>
      </c>
      <c r="G6" s="30" t="s">
        <v>159</v>
      </c>
      <c r="H6" s="109">
        <v>7.0000000000000007E-2</v>
      </c>
      <c r="J6" s="27">
        <v>105</v>
      </c>
      <c r="K6" s="27">
        <v>699910</v>
      </c>
      <c r="L6" s="28" t="s">
        <v>58</v>
      </c>
      <c r="M6" s="28" t="s">
        <v>58</v>
      </c>
      <c r="N6" s="27">
        <v>105</v>
      </c>
    </row>
    <row r="7" spans="1:16" x14ac:dyDescent="0.2">
      <c r="C7" s="27">
        <v>6</v>
      </c>
      <c r="D7" s="27">
        <v>106</v>
      </c>
      <c r="E7" s="27">
        <v>401430</v>
      </c>
      <c r="F7" s="30" t="s">
        <v>181</v>
      </c>
      <c r="G7" s="30" t="s">
        <v>160</v>
      </c>
      <c r="H7" s="109">
        <v>0</v>
      </c>
      <c r="J7" s="27">
        <v>106</v>
      </c>
      <c r="K7" s="27">
        <v>691200</v>
      </c>
      <c r="L7" s="28" t="s">
        <v>80</v>
      </c>
      <c r="M7" s="28" t="s">
        <v>80</v>
      </c>
      <c r="N7" s="27">
        <v>106</v>
      </c>
    </row>
    <row r="8" spans="1:16" x14ac:dyDescent="0.2">
      <c r="C8" s="27">
        <v>7</v>
      </c>
      <c r="D8" s="27">
        <v>107</v>
      </c>
      <c r="E8" s="27">
        <v>401440</v>
      </c>
      <c r="F8" s="30" t="s">
        <v>182</v>
      </c>
      <c r="G8" s="30" t="s">
        <v>161</v>
      </c>
      <c r="H8" s="27" t="s">
        <v>203</v>
      </c>
      <c r="J8" s="27">
        <v>107</v>
      </c>
      <c r="K8" s="27">
        <v>691700</v>
      </c>
      <c r="L8" s="28" t="s">
        <v>81</v>
      </c>
      <c r="M8" s="28" t="s">
        <v>81</v>
      </c>
      <c r="N8" s="27">
        <v>107</v>
      </c>
    </row>
    <row r="9" spans="1:16" x14ac:dyDescent="0.2">
      <c r="C9" s="27">
        <v>8</v>
      </c>
      <c r="D9" s="27">
        <v>108</v>
      </c>
      <c r="E9" s="27">
        <v>401510</v>
      </c>
      <c r="F9" s="30" t="s">
        <v>183</v>
      </c>
      <c r="G9" s="30" t="s">
        <v>162</v>
      </c>
      <c r="H9" s="109">
        <v>0.19</v>
      </c>
      <c r="J9" s="27">
        <v>108</v>
      </c>
      <c r="K9" s="27">
        <v>691100</v>
      </c>
      <c r="L9" s="28" t="s">
        <v>44</v>
      </c>
      <c r="M9" s="28" t="s">
        <v>44</v>
      </c>
      <c r="N9" s="27">
        <v>108</v>
      </c>
    </row>
    <row r="10" spans="1:16" x14ac:dyDescent="0.2">
      <c r="C10" s="27">
        <v>9</v>
      </c>
      <c r="D10" s="27">
        <v>109</v>
      </c>
      <c r="E10" s="27">
        <v>401520</v>
      </c>
      <c r="F10" s="30" t="s">
        <v>184</v>
      </c>
      <c r="G10" s="30" t="s">
        <v>163</v>
      </c>
      <c r="H10" s="109">
        <v>7.0000000000000007E-2</v>
      </c>
      <c r="J10" s="27">
        <v>109</v>
      </c>
      <c r="K10" s="27">
        <v>699922</v>
      </c>
      <c r="L10" s="28" t="s">
        <v>262</v>
      </c>
      <c r="M10" s="28" t="s">
        <v>262</v>
      </c>
      <c r="N10" s="27">
        <v>109</v>
      </c>
    </row>
    <row r="11" spans="1:16" x14ac:dyDescent="0.2">
      <c r="C11" s="27">
        <v>10</v>
      </c>
      <c r="D11" s="27">
        <v>110</v>
      </c>
      <c r="E11" s="27">
        <v>401530</v>
      </c>
      <c r="F11" s="30" t="s">
        <v>185</v>
      </c>
      <c r="G11" s="30" t="s">
        <v>164</v>
      </c>
      <c r="H11" s="109">
        <v>0</v>
      </c>
      <c r="J11" s="27">
        <v>110</v>
      </c>
      <c r="K11" s="27">
        <v>699923</v>
      </c>
      <c r="L11" s="28" t="s">
        <v>263</v>
      </c>
      <c r="M11" s="28" t="s">
        <v>263</v>
      </c>
      <c r="N11" s="27">
        <v>110</v>
      </c>
    </row>
    <row r="12" spans="1:16" x14ac:dyDescent="0.2">
      <c r="C12" s="27">
        <v>11</v>
      </c>
      <c r="D12" s="27">
        <v>111</v>
      </c>
      <c r="E12" s="27">
        <v>401540</v>
      </c>
      <c r="F12" s="30" t="s">
        <v>186</v>
      </c>
      <c r="G12" s="30" t="s">
        <v>165</v>
      </c>
      <c r="H12" s="27" t="s">
        <v>203</v>
      </c>
      <c r="J12" s="27">
        <v>111</v>
      </c>
      <c r="K12" s="27">
        <v>699924</v>
      </c>
      <c r="L12" s="28" t="s">
        <v>264</v>
      </c>
      <c r="M12" s="28" t="s">
        <v>264</v>
      </c>
      <c r="N12" s="27">
        <v>111</v>
      </c>
    </row>
    <row r="13" spans="1:16" x14ac:dyDescent="0.2">
      <c r="C13" s="27">
        <v>12</v>
      </c>
      <c r="D13" s="27">
        <v>112</v>
      </c>
      <c r="E13" s="27">
        <v>403110</v>
      </c>
      <c r="F13" s="30" t="s">
        <v>207</v>
      </c>
      <c r="G13" s="30" t="s">
        <v>213</v>
      </c>
      <c r="H13" s="109">
        <v>0.19</v>
      </c>
      <c r="J13" s="27">
        <v>112</v>
      </c>
      <c r="K13" s="27">
        <v>699925</v>
      </c>
      <c r="L13" s="28" t="s">
        <v>265</v>
      </c>
      <c r="M13" s="28" t="s">
        <v>265</v>
      </c>
      <c r="N13" s="27">
        <v>112</v>
      </c>
    </row>
    <row r="14" spans="1:16" x14ac:dyDescent="0.2">
      <c r="C14" s="27">
        <v>13</v>
      </c>
      <c r="D14" s="27">
        <v>113</v>
      </c>
      <c r="E14" s="27">
        <v>403220</v>
      </c>
      <c r="F14" s="30" t="s">
        <v>208</v>
      </c>
      <c r="G14" s="30" t="s">
        <v>214</v>
      </c>
      <c r="H14" s="109">
        <v>7.0000000000000007E-2</v>
      </c>
      <c r="J14" s="27">
        <v>113</v>
      </c>
      <c r="K14" s="27">
        <v>699921</v>
      </c>
      <c r="L14" s="28" t="s">
        <v>261</v>
      </c>
      <c r="M14" s="28" t="s">
        <v>261</v>
      </c>
      <c r="N14" s="27">
        <v>113</v>
      </c>
    </row>
    <row r="15" spans="1:16" x14ac:dyDescent="0.2">
      <c r="C15" s="27">
        <v>14</v>
      </c>
      <c r="D15" s="27">
        <v>114</v>
      </c>
      <c r="E15" s="27">
        <v>403330</v>
      </c>
      <c r="F15" s="30" t="s">
        <v>188</v>
      </c>
      <c r="G15" s="30" t="s">
        <v>166</v>
      </c>
      <c r="H15" s="109">
        <v>0</v>
      </c>
      <c r="J15" s="27">
        <v>114</v>
      </c>
      <c r="K15" s="27">
        <v>639530</v>
      </c>
      <c r="L15" s="28" t="s">
        <v>259</v>
      </c>
      <c r="M15" s="28" t="s">
        <v>259</v>
      </c>
      <c r="N15" s="27">
        <v>114</v>
      </c>
    </row>
    <row r="16" spans="1:16" x14ac:dyDescent="0.2">
      <c r="C16" s="27">
        <v>15</v>
      </c>
      <c r="D16" s="27">
        <v>115</v>
      </c>
      <c r="E16" s="27">
        <v>403340</v>
      </c>
      <c r="F16" s="30" t="s">
        <v>189</v>
      </c>
      <c r="G16" s="30" t="s">
        <v>167</v>
      </c>
      <c r="H16" s="27" t="s">
        <v>203</v>
      </c>
      <c r="J16" s="27">
        <v>115</v>
      </c>
      <c r="K16" s="27">
        <v>639540</v>
      </c>
      <c r="L16" s="28" t="s">
        <v>260</v>
      </c>
      <c r="M16" s="28" t="s">
        <v>260</v>
      </c>
      <c r="N16" s="27">
        <v>115</v>
      </c>
    </row>
    <row r="17" spans="3:14" x14ac:dyDescent="0.2">
      <c r="C17" s="27">
        <v>16</v>
      </c>
      <c r="D17" s="27">
        <v>116</v>
      </c>
      <c r="E17" s="27">
        <v>415510</v>
      </c>
      <c r="F17" s="30" t="s">
        <v>190</v>
      </c>
      <c r="G17" s="30" t="s">
        <v>168</v>
      </c>
      <c r="H17" s="109">
        <v>0.19</v>
      </c>
      <c r="J17" s="27">
        <v>116</v>
      </c>
      <c r="K17" s="27">
        <v>639520</v>
      </c>
      <c r="L17" s="28" t="s">
        <v>258</v>
      </c>
      <c r="M17" s="28" t="s">
        <v>258</v>
      </c>
      <c r="N17" s="27">
        <v>116</v>
      </c>
    </row>
    <row r="18" spans="3:14" x14ac:dyDescent="0.2">
      <c r="C18" s="27">
        <v>17</v>
      </c>
      <c r="D18" s="27">
        <v>117</v>
      </c>
      <c r="E18" s="27">
        <v>415520</v>
      </c>
      <c r="F18" s="30" t="s">
        <v>191</v>
      </c>
      <c r="G18" s="30" t="s">
        <v>169</v>
      </c>
      <c r="H18" s="109">
        <v>7.0000000000000007E-2</v>
      </c>
      <c r="J18" s="27">
        <v>117</v>
      </c>
      <c r="K18" s="27">
        <v>639510</v>
      </c>
      <c r="L18" s="28" t="s">
        <v>257</v>
      </c>
      <c r="M18" s="28" t="s">
        <v>257</v>
      </c>
      <c r="N18" s="27">
        <v>117</v>
      </c>
    </row>
    <row r="19" spans="3:14" x14ac:dyDescent="0.2">
      <c r="C19" s="27">
        <v>18</v>
      </c>
      <c r="D19" s="27">
        <v>118</v>
      </c>
      <c r="E19" s="27">
        <v>415530</v>
      </c>
      <c r="F19" s="30" t="s">
        <v>192</v>
      </c>
      <c r="G19" s="30" t="s">
        <v>170</v>
      </c>
      <c r="H19" s="109">
        <v>0</v>
      </c>
      <c r="J19" s="27">
        <v>118</v>
      </c>
      <c r="K19" s="27">
        <v>688200</v>
      </c>
      <c r="L19" s="28" t="s">
        <v>43</v>
      </c>
      <c r="M19" s="28" t="s">
        <v>43</v>
      </c>
      <c r="N19" s="27">
        <v>118</v>
      </c>
    </row>
    <row r="20" spans="3:14" x14ac:dyDescent="0.2">
      <c r="C20" s="27">
        <v>19</v>
      </c>
      <c r="D20" s="27">
        <v>119</v>
      </c>
      <c r="E20" s="27">
        <v>531910</v>
      </c>
      <c r="F20" s="30" t="s">
        <v>193</v>
      </c>
      <c r="G20" s="30" t="s">
        <v>171</v>
      </c>
      <c r="H20" s="109">
        <v>0.19</v>
      </c>
      <c r="J20" s="27">
        <v>119</v>
      </c>
      <c r="K20" s="27">
        <v>712100</v>
      </c>
      <c r="L20" s="28" t="s">
        <v>54</v>
      </c>
      <c r="M20" s="28" t="s">
        <v>121</v>
      </c>
      <c r="N20" s="27">
        <v>119</v>
      </c>
    </row>
    <row r="21" spans="3:14" x14ac:dyDescent="0.2">
      <c r="C21" s="27">
        <v>20</v>
      </c>
      <c r="D21" s="27">
        <v>120</v>
      </c>
      <c r="E21" s="27">
        <v>531920</v>
      </c>
      <c r="F21" s="30" t="s">
        <v>194</v>
      </c>
      <c r="G21" s="30" t="s">
        <v>172</v>
      </c>
      <c r="H21" s="109">
        <v>7.0000000000000007E-2</v>
      </c>
      <c r="J21" s="27">
        <v>120</v>
      </c>
      <c r="K21" s="27">
        <v>715100</v>
      </c>
      <c r="L21" s="28" t="s">
        <v>82</v>
      </c>
      <c r="M21" s="28" t="s">
        <v>82</v>
      </c>
      <c r="N21" s="27">
        <v>120</v>
      </c>
    </row>
    <row r="22" spans="3:14" x14ac:dyDescent="0.2">
      <c r="C22" s="27">
        <v>21</v>
      </c>
      <c r="D22" s="27">
        <v>121</v>
      </c>
      <c r="E22" s="27">
        <v>531930</v>
      </c>
      <c r="F22" s="30" t="s">
        <v>195</v>
      </c>
      <c r="G22" s="30" t="s">
        <v>173</v>
      </c>
      <c r="H22" s="109">
        <v>0</v>
      </c>
      <c r="J22" s="27">
        <v>121</v>
      </c>
      <c r="K22" s="27">
        <v>712200</v>
      </c>
      <c r="L22" s="28" t="s">
        <v>55</v>
      </c>
      <c r="M22" s="28" t="s">
        <v>55</v>
      </c>
      <c r="N22" s="27">
        <v>121</v>
      </c>
    </row>
    <row r="23" spans="3:14" x14ac:dyDescent="0.2">
      <c r="C23" s="27">
        <v>22</v>
      </c>
      <c r="D23" s="27">
        <v>122</v>
      </c>
      <c r="E23" s="27">
        <v>531940</v>
      </c>
      <c r="F23" s="30" t="s">
        <v>196</v>
      </c>
      <c r="G23" s="30" t="s">
        <v>174</v>
      </c>
      <c r="H23" s="27" t="s">
        <v>203</v>
      </c>
      <c r="J23" s="27">
        <v>122</v>
      </c>
      <c r="K23" s="27">
        <v>714000</v>
      </c>
      <c r="L23" s="28" t="s">
        <v>56</v>
      </c>
      <c r="M23" s="28" t="s">
        <v>56</v>
      </c>
      <c r="N23" s="27">
        <v>122</v>
      </c>
    </row>
    <row r="24" spans="3:14" x14ac:dyDescent="0.2">
      <c r="C24" s="27">
        <v>23</v>
      </c>
      <c r="D24" s="27">
        <v>123</v>
      </c>
      <c r="E24" s="27">
        <v>539910</v>
      </c>
      <c r="F24" s="30" t="s">
        <v>197</v>
      </c>
      <c r="G24" s="30" t="s">
        <v>175</v>
      </c>
      <c r="H24" s="109">
        <v>0.19</v>
      </c>
      <c r="J24" s="27">
        <v>123</v>
      </c>
      <c r="K24" s="27">
        <v>688100</v>
      </c>
      <c r="L24" s="28" t="s">
        <v>42</v>
      </c>
      <c r="M24" s="28" t="s">
        <v>42</v>
      </c>
      <c r="N24" s="27">
        <v>123</v>
      </c>
    </row>
    <row r="25" spans="3:14" x14ac:dyDescent="0.2">
      <c r="C25" s="27">
        <v>24</v>
      </c>
      <c r="D25" s="27">
        <v>124</v>
      </c>
      <c r="E25" s="27">
        <v>539920</v>
      </c>
      <c r="F25" s="30" t="s">
        <v>198</v>
      </c>
      <c r="G25" s="30" t="s">
        <v>176</v>
      </c>
      <c r="H25" s="109">
        <v>7.0000000000000007E-2</v>
      </c>
      <c r="J25" s="27">
        <v>124</v>
      </c>
      <c r="K25" s="27">
        <v>695100</v>
      </c>
      <c r="L25" s="28" t="s">
        <v>49</v>
      </c>
      <c r="M25" s="28" t="s">
        <v>49</v>
      </c>
      <c r="N25" s="27">
        <v>124</v>
      </c>
    </row>
    <row r="26" spans="3:14" x14ac:dyDescent="0.2">
      <c r="C26" s="27">
        <v>25</v>
      </c>
      <c r="D26" s="27">
        <v>125</v>
      </c>
      <c r="E26" s="27">
        <v>539930</v>
      </c>
      <c r="F26" s="30" t="s">
        <v>199</v>
      </c>
      <c r="G26" s="30" t="s">
        <v>177</v>
      </c>
      <c r="H26" s="109">
        <v>0</v>
      </c>
      <c r="J26" s="27">
        <v>125</v>
      </c>
      <c r="K26" s="27">
        <v>699300</v>
      </c>
      <c r="L26" s="28" t="s">
        <v>87</v>
      </c>
      <c r="M26" s="28" t="s">
        <v>87</v>
      </c>
      <c r="N26" s="27">
        <v>125</v>
      </c>
    </row>
    <row r="27" spans="3:14" x14ac:dyDescent="0.2">
      <c r="C27" s="27">
        <v>26</v>
      </c>
      <c r="D27" s="27">
        <v>126</v>
      </c>
      <c r="E27" s="27">
        <v>539940</v>
      </c>
      <c r="F27" s="30" t="s">
        <v>187</v>
      </c>
      <c r="G27" s="30" t="s">
        <v>178</v>
      </c>
      <c r="H27" s="27" t="s">
        <v>203</v>
      </c>
      <c r="J27" s="27">
        <v>126</v>
      </c>
      <c r="K27" s="27">
        <v>691300</v>
      </c>
      <c r="L27" s="28" t="s">
        <v>45</v>
      </c>
      <c r="M27" s="28" t="s">
        <v>45</v>
      </c>
      <c r="N27" s="27">
        <v>126</v>
      </c>
    </row>
    <row r="28" spans="3:14" x14ac:dyDescent="0.2">
      <c r="C28" s="27">
        <v>27</v>
      </c>
      <c r="D28" s="27">
        <v>127</v>
      </c>
      <c r="E28" s="27">
        <v>426110</v>
      </c>
      <c r="F28" s="28" t="s">
        <v>200</v>
      </c>
      <c r="G28" s="28" t="s">
        <v>215</v>
      </c>
      <c r="H28" s="109">
        <v>0.19</v>
      </c>
      <c r="J28" s="27">
        <v>127</v>
      </c>
      <c r="K28" s="27">
        <v>693000</v>
      </c>
      <c r="L28" s="28" t="s">
        <v>47</v>
      </c>
      <c r="M28" s="28" t="s">
        <v>47</v>
      </c>
      <c r="N28" s="27">
        <v>127</v>
      </c>
    </row>
    <row r="29" spans="3:14" x14ac:dyDescent="0.2">
      <c r="C29" s="27">
        <v>28</v>
      </c>
      <c r="D29" s="27">
        <v>128</v>
      </c>
      <c r="E29" s="27">
        <v>426130</v>
      </c>
      <c r="F29" s="28" t="s">
        <v>201</v>
      </c>
      <c r="G29" s="28" t="s">
        <v>216</v>
      </c>
      <c r="H29" s="109">
        <v>0</v>
      </c>
      <c r="J29" s="27">
        <v>128</v>
      </c>
      <c r="K29" s="27">
        <v>695900</v>
      </c>
      <c r="L29" s="28" t="s">
        <v>51</v>
      </c>
      <c r="M29" s="28" t="s">
        <v>122</v>
      </c>
      <c r="N29" s="27">
        <v>128</v>
      </c>
    </row>
    <row r="30" spans="3:14" x14ac:dyDescent="0.2">
      <c r="C30" s="27">
        <v>29</v>
      </c>
      <c r="D30" s="27">
        <v>129</v>
      </c>
      <c r="E30" s="27">
        <v>426140</v>
      </c>
      <c r="F30" s="28" t="s">
        <v>202</v>
      </c>
      <c r="G30" s="28" t="s">
        <v>217</v>
      </c>
      <c r="H30" s="27" t="s">
        <v>203</v>
      </c>
      <c r="J30" s="27">
        <v>129</v>
      </c>
      <c r="K30" s="27">
        <v>763000</v>
      </c>
      <c r="L30" s="28" t="s">
        <v>57</v>
      </c>
      <c r="M30" s="28" t="s">
        <v>57</v>
      </c>
      <c r="N30" s="27">
        <v>129</v>
      </c>
    </row>
    <row r="31" spans="3:14" x14ac:dyDescent="0.2">
      <c r="C31" s="27">
        <v>30</v>
      </c>
      <c r="D31" s="27">
        <v>130</v>
      </c>
      <c r="E31" s="27">
        <v>361100</v>
      </c>
      <c r="F31" s="28" t="s">
        <v>223</v>
      </c>
      <c r="G31" s="28" t="s">
        <v>222</v>
      </c>
      <c r="H31" s="28" t="s">
        <v>203</v>
      </c>
      <c r="J31" s="27">
        <v>130</v>
      </c>
      <c r="K31" s="27">
        <v>699990</v>
      </c>
      <c r="L31" s="28" t="s">
        <v>53</v>
      </c>
      <c r="M31" s="28" t="s">
        <v>123</v>
      </c>
      <c r="N31" s="27">
        <v>130</v>
      </c>
    </row>
    <row r="32" spans="3:14" ht="15" x14ac:dyDescent="0.25">
      <c r="C32" s="27">
        <v>31</v>
      </c>
      <c r="D32" s="27">
        <v>131</v>
      </c>
      <c r="E32" s="27">
        <v>412100</v>
      </c>
      <c r="F32" s="28" t="s">
        <v>284</v>
      </c>
      <c r="G32" s="152" t="s">
        <v>282</v>
      </c>
      <c r="H32" s="109">
        <v>0.19</v>
      </c>
      <c r="J32" s="27">
        <v>131</v>
      </c>
      <c r="K32" s="27">
        <v>691800</v>
      </c>
      <c r="L32" s="28" t="s">
        <v>46</v>
      </c>
      <c r="M32" s="28" t="s">
        <v>46</v>
      </c>
      <c r="N32" s="27">
        <v>131</v>
      </c>
    </row>
    <row r="33" spans="3:14" ht="15" x14ac:dyDescent="0.25">
      <c r="C33" s="27">
        <v>32</v>
      </c>
      <c r="D33" s="27">
        <v>132</v>
      </c>
      <c r="E33" s="27">
        <v>412200</v>
      </c>
      <c r="F33" s="28" t="s">
        <v>285</v>
      </c>
      <c r="G33" s="152" t="s">
        <v>283</v>
      </c>
      <c r="H33" s="109">
        <v>7.0000000000000007E-2</v>
      </c>
      <c r="J33" s="27">
        <v>132</v>
      </c>
      <c r="K33" s="27">
        <v>639000</v>
      </c>
      <c r="L33" s="28" t="s">
        <v>40</v>
      </c>
      <c r="M33" s="28" t="s">
        <v>40</v>
      </c>
      <c r="N33" s="27">
        <v>132</v>
      </c>
    </row>
    <row r="34" spans="3:14" x14ac:dyDescent="0.2">
      <c r="C34" s="27">
        <v>33</v>
      </c>
      <c r="J34" s="27">
        <v>133</v>
      </c>
      <c r="K34" s="27">
        <v>695200</v>
      </c>
      <c r="L34" s="28" t="s">
        <v>50</v>
      </c>
      <c r="M34" s="28" t="s">
        <v>50</v>
      </c>
      <c r="N34" s="27">
        <v>133</v>
      </c>
    </row>
    <row r="35" spans="3:14" x14ac:dyDescent="0.2">
      <c r="C35" s="27">
        <v>34</v>
      </c>
      <c r="E35" s="29"/>
      <c r="J35" s="27">
        <v>134</v>
      </c>
      <c r="K35" s="27">
        <v>699600</v>
      </c>
      <c r="L35" s="28" t="s">
        <v>52</v>
      </c>
      <c r="M35" s="28" t="s">
        <v>52</v>
      </c>
      <c r="N35" s="27">
        <v>134</v>
      </c>
    </row>
    <row r="36" spans="3:14" x14ac:dyDescent="0.2">
      <c r="C36" s="27">
        <v>35</v>
      </c>
      <c r="E36" s="29"/>
      <c r="J36" s="27">
        <v>135</v>
      </c>
      <c r="K36" s="27">
        <v>681000</v>
      </c>
      <c r="L36" s="28" t="s">
        <v>41</v>
      </c>
      <c r="M36" s="28" t="s">
        <v>124</v>
      </c>
      <c r="N36" s="27">
        <v>135</v>
      </c>
    </row>
    <row r="37" spans="3:14" x14ac:dyDescent="0.2">
      <c r="C37" s="27">
        <v>36</v>
      </c>
      <c r="E37" s="29"/>
      <c r="J37" s="27">
        <v>136</v>
      </c>
      <c r="K37" s="27">
        <v>682000</v>
      </c>
      <c r="L37" s="28" t="s">
        <v>148</v>
      </c>
      <c r="M37" s="28" t="s">
        <v>148</v>
      </c>
      <c r="N37" s="27">
        <v>136</v>
      </c>
    </row>
    <row r="38" spans="3:14" x14ac:dyDescent="0.2">
      <c r="C38" s="27">
        <v>37</v>
      </c>
      <c r="E38" s="29"/>
      <c r="J38" s="27">
        <v>137</v>
      </c>
      <c r="K38" s="27">
        <v>679100</v>
      </c>
      <c r="L38" s="28" t="s">
        <v>256</v>
      </c>
      <c r="M38" s="28" t="s">
        <v>256</v>
      </c>
      <c r="N38" s="27">
        <v>137</v>
      </c>
    </row>
    <row r="39" spans="3:14" x14ac:dyDescent="0.2">
      <c r="C39" s="27">
        <v>38</v>
      </c>
      <c r="E39" s="29"/>
      <c r="J39" s="27">
        <v>38</v>
      </c>
      <c r="K39" s="27"/>
    </row>
    <row r="40" spans="3:14" x14ac:dyDescent="0.2">
      <c r="C40" s="27">
        <v>39</v>
      </c>
      <c r="E40" s="29"/>
      <c r="J40" s="27">
        <v>39</v>
      </c>
      <c r="K40" s="27"/>
    </row>
    <row r="41" spans="3:14" x14ac:dyDescent="0.2">
      <c r="C41" s="27">
        <v>40</v>
      </c>
      <c r="E41" s="29"/>
      <c r="J41" s="27">
        <v>40</v>
      </c>
      <c r="K41" s="27"/>
    </row>
    <row r="42" spans="3:14" x14ac:dyDescent="0.2">
      <c r="C42" s="27">
        <v>41</v>
      </c>
      <c r="E42" s="29"/>
      <c r="J42" s="27">
        <v>41</v>
      </c>
      <c r="K42" s="29"/>
    </row>
    <row r="43" spans="3:14" x14ac:dyDescent="0.2">
      <c r="C43" s="27">
        <v>42</v>
      </c>
      <c r="E43" s="29"/>
      <c r="J43" s="27">
        <v>42</v>
      </c>
      <c r="K43" s="29"/>
    </row>
    <row r="44" spans="3:14" x14ac:dyDescent="0.2">
      <c r="C44" s="27">
        <v>43</v>
      </c>
      <c r="E44" s="29"/>
      <c r="J44" s="27">
        <v>43</v>
      </c>
      <c r="K44" s="29"/>
    </row>
    <row r="45" spans="3:14" x14ac:dyDescent="0.2">
      <c r="C45" s="27">
        <v>44</v>
      </c>
      <c r="E45" s="29"/>
      <c r="J45" s="27">
        <v>44</v>
      </c>
      <c r="K45" s="29"/>
    </row>
    <row r="46" spans="3:14" x14ac:dyDescent="0.2">
      <c r="C46" s="27">
        <v>45</v>
      </c>
      <c r="E46" s="29"/>
      <c r="J46" s="27">
        <v>45</v>
      </c>
      <c r="K46" s="29"/>
    </row>
    <row r="47" spans="3:14" x14ac:dyDescent="0.2">
      <c r="C47" s="27">
        <v>46</v>
      </c>
      <c r="E47" s="29"/>
      <c r="J47" s="27">
        <v>46</v>
      </c>
      <c r="K47" s="29"/>
    </row>
    <row r="48" spans="3:14" x14ac:dyDescent="0.2">
      <c r="C48" s="27">
        <v>47</v>
      </c>
      <c r="E48" s="29"/>
      <c r="J48" s="27">
        <v>47</v>
      </c>
      <c r="K48" s="29"/>
    </row>
    <row r="49" spans="1:11" x14ac:dyDescent="0.2">
      <c r="C49" s="27">
        <v>48</v>
      </c>
      <c r="E49" s="29"/>
      <c r="J49" s="27">
        <v>48</v>
      </c>
      <c r="K49" s="29"/>
    </row>
    <row r="50" spans="1:11" x14ac:dyDescent="0.2">
      <c r="C50" s="27">
        <v>49</v>
      </c>
      <c r="E50" s="29"/>
      <c r="J50" s="27">
        <v>49</v>
      </c>
      <c r="K50" s="29"/>
    </row>
    <row r="51" spans="1:11" x14ac:dyDescent="0.2">
      <c r="C51" s="27">
        <v>50</v>
      </c>
      <c r="E51" s="29"/>
      <c r="J51" s="27">
        <v>50</v>
      </c>
      <c r="K51" s="29"/>
    </row>
    <row r="52" spans="1:11" x14ac:dyDescent="0.2">
      <c r="E52" s="29"/>
      <c r="K52" s="29"/>
    </row>
    <row r="61" spans="1:11" x14ac:dyDescent="0.2">
      <c r="A61" s="28" t="s">
        <v>152</v>
      </c>
    </row>
    <row r="62" spans="1:11" x14ac:dyDescent="0.2">
      <c r="A62" s="28" t="s">
        <v>153</v>
      </c>
    </row>
    <row r="64" spans="1:11" x14ac:dyDescent="0.2">
      <c r="B64" s="28">
        <v>1</v>
      </c>
    </row>
    <row r="65" spans="2:4" x14ac:dyDescent="0.2">
      <c r="B65" s="28">
        <v>2</v>
      </c>
      <c r="C65" s="28" t="s">
        <v>95</v>
      </c>
      <c r="D65" s="28"/>
    </row>
    <row r="66" spans="2:4" x14ac:dyDescent="0.2">
      <c r="B66" s="28">
        <v>3</v>
      </c>
      <c r="C66" s="110">
        <v>0.19</v>
      </c>
      <c r="D66" s="110"/>
    </row>
    <row r="67" spans="2:4" x14ac:dyDescent="0.2">
      <c r="B67" s="28">
        <v>4</v>
      </c>
      <c r="C67" s="110">
        <v>0.16</v>
      </c>
      <c r="D67" s="110"/>
    </row>
    <row r="68" spans="2:4" x14ac:dyDescent="0.2">
      <c r="B68" s="28">
        <v>5</v>
      </c>
      <c r="C68" s="110">
        <v>7.0000000000000007E-2</v>
      </c>
      <c r="D68" s="110"/>
    </row>
    <row r="69" spans="2:4" x14ac:dyDescent="0.2">
      <c r="B69" s="28">
        <v>6</v>
      </c>
      <c r="C69" s="110">
        <v>0</v>
      </c>
      <c r="D69" s="110"/>
    </row>
    <row r="70" spans="2:4" x14ac:dyDescent="0.2">
      <c r="C70" s="28" t="s">
        <v>204</v>
      </c>
      <c r="D70" s="28"/>
    </row>
  </sheetData>
  <sheetProtection algorithmName="SHA-512" hashValue="ql4XuHRbbS/YqUdEPSZ2Siad8veWgrCFDUP9x/kEhVLGtTuEz0AGn2ndLpAKSJpKXVOtylKjOtWIB5c6H3O92g==" saltValue="jixy2hM3A6sS/ScF1owptQ==" spinCount="100000" sheet="1" objects="1" scenarios="1" selectLockedCells="1" selectUnlockedCells="1"/>
  <sortState ref="K2:M38">
    <sortCondition ref="L2:L38"/>
  </sortState>
  <mergeCells count="1">
    <mergeCell ref="O1:P3"/>
  </mergeCells>
  <pageMargins left="0.7" right="0.7" top="0.78740157499999996" bottom="0.78740157499999996"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7" tint="-0.249977111117893"/>
    <pageSetUpPr fitToPage="1"/>
  </sheetPr>
  <dimension ref="A1:AG69"/>
  <sheetViews>
    <sheetView showGridLines="0" tabSelected="1" topLeftCell="C1" zoomScaleNormal="100" workbookViewId="0">
      <selection activeCell="M2" sqref="M2:M4"/>
    </sheetView>
  </sheetViews>
  <sheetFormatPr baseColWidth="10" defaultColWidth="11.42578125" defaultRowHeight="12.75" x14ac:dyDescent="0.2"/>
  <cols>
    <col min="1" max="1" width="18.140625" style="2" hidden="1" customWidth="1"/>
    <col min="2" max="2" width="5.140625" style="2" hidden="1" customWidth="1"/>
    <col min="3" max="3" width="5.140625" style="2" customWidth="1"/>
    <col min="4" max="4" width="8.7109375" style="2" customWidth="1"/>
    <col min="5" max="5" width="1.28515625" style="2" customWidth="1"/>
    <col min="6" max="6" width="40.140625" style="2" customWidth="1"/>
    <col min="7" max="7" width="13.28515625" style="2" customWidth="1"/>
    <col min="8" max="8" width="9" style="2" customWidth="1"/>
    <col min="9" max="9" width="11.42578125" style="2" customWidth="1"/>
    <col min="10" max="10" width="11.42578125" style="2"/>
    <col min="11" max="11" width="12.28515625" style="2" customWidth="1"/>
    <col min="12" max="12" width="2.140625" style="2" customWidth="1"/>
    <col min="13" max="13" width="11.5703125" style="3" customWidth="1"/>
    <col min="14" max="14" width="2.140625" style="2" customWidth="1"/>
    <col min="15" max="17" width="14.42578125" style="2" customWidth="1"/>
    <col min="18" max="18" width="14.140625" style="2" hidden="1" customWidth="1"/>
    <col min="19" max="19" width="11.5703125" style="3" hidden="1" customWidth="1"/>
    <col min="20" max="20" width="6.85546875" style="3" hidden="1" customWidth="1"/>
    <col min="21" max="21" width="16.140625" style="3" hidden="1" customWidth="1"/>
    <col min="22" max="22" width="9" style="3" hidden="1" customWidth="1"/>
    <col min="23" max="24" width="11.42578125" style="3" hidden="1" customWidth="1"/>
    <col min="25" max="25" width="2.7109375" style="2" hidden="1" customWidth="1"/>
    <col min="26" max="26" width="4.85546875" style="2" hidden="1" customWidth="1"/>
    <col min="27" max="27" width="20.7109375" style="2" hidden="1" customWidth="1"/>
    <col min="28" max="30" width="11.42578125" style="2" hidden="1" customWidth="1"/>
    <col min="31" max="31" width="11.42578125" style="2" customWidth="1"/>
    <col min="32" max="32" width="12.85546875" style="2" customWidth="1"/>
    <col min="33" max="33" width="20.5703125" style="2" bestFit="1" customWidth="1"/>
    <col min="34" max="34" width="12" style="2" bestFit="1" customWidth="1"/>
    <col min="35" max="16384" width="11.42578125" style="2"/>
  </cols>
  <sheetData>
    <row r="1" spans="3:32" x14ac:dyDescent="0.2">
      <c r="C1" s="33"/>
      <c r="D1" s="33"/>
      <c r="E1" s="33"/>
      <c r="F1" s="33"/>
      <c r="G1" s="33"/>
      <c r="H1" s="33"/>
      <c r="I1" s="33"/>
      <c r="J1" s="33"/>
      <c r="K1" s="33"/>
      <c r="L1" s="33"/>
      <c r="M1" s="42"/>
      <c r="N1" s="33"/>
      <c r="O1" s="33"/>
      <c r="P1" s="33"/>
      <c r="Q1" s="33"/>
      <c r="R1" s="33"/>
      <c r="S1" s="42"/>
      <c r="T1" s="42"/>
      <c r="U1" s="42"/>
    </row>
    <row r="2" spans="3:32" ht="12.75" customHeight="1" x14ac:dyDescent="0.2">
      <c r="F2" s="200" t="s">
        <v>9</v>
      </c>
      <c r="J2" s="202" t="str">
        <f>IF($M$2="","","RT "&amp;VLOOKUP($M$2,RT!$A:$K,4,FALSE))</f>
        <v/>
      </c>
      <c r="K2" s="202"/>
      <c r="M2" s="204"/>
      <c r="O2" s="199" t="s">
        <v>10</v>
      </c>
      <c r="P2" s="199"/>
      <c r="Q2" s="141"/>
      <c r="R2" s="80"/>
    </row>
    <row r="3" spans="3:32" ht="12.75" customHeight="1" x14ac:dyDescent="0.2">
      <c r="F3" s="200"/>
      <c r="J3" s="202"/>
      <c r="K3" s="202"/>
      <c r="M3" s="204"/>
      <c r="O3" s="199"/>
      <c r="P3" s="199"/>
      <c r="Q3" s="141"/>
      <c r="R3" s="80"/>
    </row>
    <row r="4" spans="3:32" ht="12.75" customHeight="1" x14ac:dyDescent="0.2">
      <c r="F4" s="200"/>
      <c r="J4" s="202"/>
      <c r="K4" s="202"/>
      <c r="M4" s="204"/>
      <c r="O4" s="199"/>
      <c r="P4" s="199"/>
      <c r="Q4" s="141"/>
      <c r="R4" s="80"/>
    </row>
    <row r="5" spans="3:32" ht="21.75" customHeight="1" x14ac:dyDescent="0.2">
      <c r="F5" s="203" t="str">
        <f>IF($M$2="","",VLOOKUP($M$2,RT!$A:$K,2,FALSE))</f>
        <v/>
      </c>
      <c r="G5" s="203"/>
      <c r="H5" s="203"/>
      <c r="I5" s="203"/>
      <c r="J5" s="203"/>
      <c r="K5" s="203"/>
    </row>
    <row r="6" spans="3:32" ht="6.75" customHeight="1" x14ac:dyDescent="0.2"/>
    <row r="7" spans="3:32" ht="15.75" customHeight="1" x14ac:dyDescent="0.2">
      <c r="F7" s="201" t="s">
        <v>286</v>
      </c>
      <c r="H7" s="43" t="s">
        <v>270</v>
      </c>
      <c r="I7" s="99"/>
      <c r="J7" s="43" t="s">
        <v>271</v>
      </c>
      <c r="K7" s="100"/>
      <c r="O7" s="112"/>
    </row>
    <row r="8" spans="3:32" ht="15" x14ac:dyDescent="0.25">
      <c r="F8" s="201"/>
      <c r="G8" s="3"/>
      <c r="H8" s="118" t="s">
        <v>116</v>
      </c>
      <c r="I8" s="205"/>
      <c r="J8" s="205"/>
      <c r="K8" s="205"/>
      <c r="O8" s="112"/>
      <c r="R8" s="140"/>
    </row>
    <row r="9" spans="3:32" ht="15.75" customHeight="1" x14ac:dyDescent="0.2">
      <c r="C9" s="34"/>
      <c r="D9" s="34"/>
      <c r="E9" s="34"/>
      <c r="F9" s="34"/>
      <c r="G9" s="34"/>
      <c r="H9" s="34"/>
      <c r="I9" s="34"/>
      <c r="J9" s="14"/>
      <c r="K9" s="14"/>
      <c r="L9" s="34"/>
      <c r="M9" s="1"/>
      <c r="N9" s="34"/>
      <c r="P9" s="34"/>
      <c r="Q9" s="34"/>
      <c r="R9" s="34"/>
      <c r="S9" s="1"/>
      <c r="T9" s="1"/>
      <c r="U9" s="1"/>
    </row>
    <row r="10" spans="3:32" ht="15.75" customHeight="1" x14ac:dyDescent="0.2">
      <c r="C10" s="34"/>
      <c r="D10" s="34"/>
      <c r="E10" s="34"/>
      <c r="F10" s="34"/>
      <c r="G10" s="34"/>
      <c r="H10" s="34"/>
      <c r="I10" s="34"/>
      <c r="J10" s="43" t="s">
        <v>272</v>
      </c>
      <c r="K10" s="101"/>
      <c r="L10" s="34"/>
      <c r="M10" s="206" t="s">
        <v>291</v>
      </c>
      <c r="N10" s="206"/>
      <c r="O10" s="206"/>
      <c r="P10" s="206"/>
      <c r="Q10" s="206"/>
      <c r="R10" s="206"/>
      <c r="S10" s="1"/>
      <c r="T10" s="1"/>
      <c r="U10" s="1"/>
    </row>
    <row r="11" spans="3:32" ht="15.75" customHeight="1" x14ac:dyDescent="0.25">
      <c r="C11" s="35"/>
      <c r="J11" s="43" t="s">
        <v>287</v>
      </c>
      <c r="K11" s="155">
        <f>Barbestand!H24</f>
        <v>0</v>
      </c>
      <c r="M11" s="206"/>
      <c r="N11" s="206"/>
      <c r="O11" s="206"/>
      <c r="P11" s="206"/>
      <c r="Q11" s="206"/>
      <c r="R11" s="206"/>
    </row>
    <row r="12" spans="3:32" ht="15.75" customHeight="1" x14ac:dyDescent="0.2">
      <c r="C12" s="36"/>
      <c r="D12" s="37"/>
      <c r="E12" s="37"/>
      <c r="G12" s="37"/>
      <c r="H12" s="37"/>
      <c r="I12" s="37"/>
      <c r="J12" s="43" t="s">
        <v>273</v>
      </c>
      <c r="K12" s="101"/>
      <c r="L12" s="37"/>
      <c r="M12" s="206"/>
      <c r="N12" s="206"/>
      <c r="O12" s="206"/>
      <c r="P12" s="206"/>
      <c r="Q12" s="206"/>
      <c r="R12" s="206"/>
      <c r="S12" s="77"/>
      <c r="T12" s="77"/>
      <c r="U12" s="77"/>
    </row>
    <row r="13" spans="3:32" ht="15.75" customHeight="1" x14ac:dyDescent="0.25">
      <c r="C13" s="36"/>
      <c r="D13" s="37"/>
      <c r="E13" s="37"/>
      <c r="G13" s="37"/>
      <c r="H13" s="37"/>
      <c r="J13" s="43" t="s">
        <v>292</v>
      </c>
      <c r="K13" s="156"/>
      <c r="L13" s="37"/>
      <c r="M13" s="206"/>
      <c r="N13" s="206"/>
      <c r="O13" s="206"/>
      <c r="P13" s="206"/>
      <c r="Q13" s="206"/>
      <c r="R13" s="206"/>
      <c r="S13" s="77"/>
      <c r="T13" s="77"/>
      <c r="U13" s="77"/>
      <c r="AF13" s="121"/>
    </row>
    <row r="14" spans="3:32" ht="15.75" customHeight="1" x14ac:dyDescent="0.2">
      <c r="C14" s="36"/>
      <c r="D14" s="198" t="s">
        <v>91</v>
      </c>
      <c r="E14" s="198"/>
      <c r="F14" s="198"/>
      <c r="G14" s="37"/>
      <c r="H14" s="37"/>
      <c r="I14" s="37"/>
      <c r="J14" s="43" t="str">
        <f>IF(K14&lt;0,"Einzug / Überweisung aus dieser Abrechnung","Erstattung aus dieser Abrechnung")</f>
        <v>Erstattung aus dieser Abrechnung</v>
      </c>
      <c r="K14" s="98">
        <f>IF(R8=1,"",$J$69-$I$69)</f>
        <v>0</v>
      </c>
      <c r="L14" s="37"/>
      <c r="M14" s="206"/>
      <c r="N14" s="206"/>
      <c r="O14" s="206"/>
      <c r="P14" s="206"/>
      <c r="Q14" s="206"/>
      <c r="R14" s="206"/>
      <c r="S14" s="77"/>
      <c r="T14" s="95"/>
      <c r="U14" s="77"/>
      <c r="V14" s="73"/>
    </row>
    <row r="15" spans="3:32" ht="15.75" customHeight="1" x14ac:dyDescent="0.2">
      <c r="C15" s="36"/>
      <c r="D15" s="197"/>
      <c r="E15" s="197"/>
      <c r="F15" s="197"/>
      <c r="G15" s="37"/>
      <c r="H15" s="37"/>
      <c r="I15" s="37"/>
      <c r="J15" s="43" t="s">
        <v>290</v>
      </c>
      <c r="K15" s="101"/>
      <c r="L15" s="37"/>
      <c r="M15" s="206"/>
      <c r="N15" s="206"/>
      <c r="O15" s="206"/>
      <c r="P15" s="206"/>
      <c r="Q15" s="206"/>
      <c r="R15" s="206"/>
      <c r="S15" s="77"/>
      <c r="T15" s="95"/>
      <c r="U15" s="77"/>
      <c r="V15" s="73"/>
    </row>
    <row r="16" spans="3:32" ht="15" customHeight="1" x14ac:dyDescent="0.2">
      <c r="C16" s="37"/>
      <c r="D16" s="197"/>
      <c r="E16" s="197"/>
      <c r="F16" s="197"/>
      <c r="G16" s="37"/>
      <c r="H16" s="37"/>
      <c r="I16" s="37"/>
      <c r="J16" s="157" t="s">
        <v>274</v>
      </c>
      <c r="K16" s="44">
        <f>$K$10+K11+$J$69-$I$69+$K$12-$K$13</f>
        <v>0</v>
      </c>
      <c r="L16" s="37"/>
      <c r="M16" s="206"/>
      <c r="N16" s="206"/>
      <c r="O16" s="206"/>
      <c r="P16" s="206"/>
      <c r="Q16" s="206"/>
      <c r="R16" s="206"/>
      <c r="S16" s="77"/>
      <c r="T16" s="77"/>
      <c r="U16" s="77"/>
    </row>
    <row r="17" spans="1:33" x14ac:dyDescent="0.2">
      <c r="C17" s="37"/>
      <c r="D17" s="96"/>
      <c r="E17" s="197"/>
      <c r="F17" s="197"/>
      <c r="G17" s="37"/>
      <c r="H17" s="37"/>
      <c r="I17" s="207"/>
      <c r="J17" s="207"/>
      <c r="L17" s="37"/>
      <c r="M17" s="206"/>
      <c r="N17" s="206"/>
      <c r="O17" s="206"/>
      <c r="P17" s="206"/>
      <c r="Q17" s="206"/>
      <c r="R17" s="206"/>
      <c r="S17" s="77"/>
      <c r="T17" s="77"/>
      <c r="U17" s="209" t="s">
        <v>92</v>
      </c>
      <c r="V17" s="209"/>
      <c r="W17" s="209"/>
      <c r="X17" s="209"/>
      <c r="Y17" s="209"/>
      <c r="Z17" s="209"/>
      <c r="AA17" s="209"/>
      <c r="AB17" s="209"/>
      <c r="AC17" s="209"/>
    </row>
    <row r="18" spans="1:33" ht="21.75" customHeight="1" x14ac:dyDescent="0.2">
      <c r="C18" s="38"/>
      <c r="D18" s="38"/>
      <c r="E18" s="196"/>
      <c r="F18" s="196"/>
      <c r="G18" s="38"/>
      <c r="H18" s="38"/>
      <c r="I18" s="210" t="s">
        <v>154</v>
      </c>
      <c r="J18" s="210"/>
      <c r="K18" s="97"/>
      <c r="L18" s="72"/>
      <c r="M18" s="78"/>
      <c r="N18" s="72"/>
      <c r="O18" s="72"/>
      <c r="P18" s="72"/>
      <c r="Q18" s="72"/>
      <c r="R18" s="72"/>
      <c r="S18" s="78"/>
      <c r="T18" s="78"/>
      <c r="U18" s="208" t="s">
        <v>93</v>
      </c>
      <c r="V18" s="208"/>
      <c r="W18" s="208"/>
      <c r="X18" s="79"/>
      <c r="AA18" s="208" t="s">
        <v>94</v>
      </c>
      <c r="AB18" s="208"/>
      <c r="AC18" s="208"/>
    </row>
    <row r="19" spans="1:33" ht="26.25" customHeight="1" x14ac:dyDescent="0.2">
      <c r="C19" s="52" t="s">
        <v>89</v>
      </c>
      <c r="D19" s="53" t="s">
        <v>7</v>
      </c>
      <c r="E19" s="212" t="s">
        <v>155</v>
      </c>
      <c r="F19" s="212"/>
      <c r="G19" s="53" t="s">
        <v>3</v>
      </c>
      <c r="H19" s="53" t="s">
        <v>74</v>
      </c>
      <c r="I19" s="53" t="s">
        <v>95</v>
      </c>
      <c r="J19" s="113" t="s">
        <v>96</v>
      </c>
      <c r="K19" s="54" t="s">
        <v>90</v>
      </c>
      <c r="L19" s="39"/>
      <c r="M19" s="39" t="s">
        <v>114</v>
      </c>
      <c r="N19" s="39"/>
      <c r="O19" s="211" t="s">
        <v>218</v>
      </c>
      <c r="P19" s="211"/>
      <c r="Q19" s="211"/>
      <c r="R19" s="211"/>
      <c r="S19" s="108" t="s">
        <v>117</v>
      </c>
      <c r="T19" s="39" t="s">
        <v>74</v>
      </c>
      <c r="U19" s="13" t="s">
        <v>97</v>
      </c>
      <c r="V19" s="13" t="s">
        <v>88</v>
      </c>
      <c r="W19" s="13" t="s">
        <v>96</v>
      </c>
      <c r="X19" s="13" t="s">
        <v>157</v>
      </c>
      <c r="Z19" s="39" t="s">
        <v>74</v>
      </c>
      <c r="AA19" s="13" t="s">
        <v>85</v>
      </c>
      <c r="AB19" s="13" t="s">
        <v>157</v>
      </c>
      <c r="AC19" s="13" t="s">
        <v>95</v>
      </c>
      <c r="AD19" s="13"/>
      <c r="AE19" s="13"/>
      <c r="AF19" s="13"/>
    </row>
    <row r="20" spans="1:33" ht="24.75" customHeight="1" x14ac:dyDescent="0.2">
      <c r="A20" s="120" t="str">
        <f>AA20</f>
        <v/>
      </c>
      <c r="B20" s="79" t="str">
        <f t="shared" ref="B20:B22" si="0">IF(W20&lt;&gt;"",CONCATENATE(S20,X20)*1,"")</f>
        <v/>
      </c>
      <c r="C20" s="45">
        <v>1</v>
      </c>
      <c r="D20" s="49"/>
      <c r="E20" s="195"/>
      <c r="F20" s="195"/>
      <c r="G20" s="50"/>
      <c r="H20" s="46" t="str">
        <f>IF($S20="","",IF($S20=1,VLOOKUP($T20,SaKoBereichAufwand,2,FALSE),VLOOKUP($Z20,SaKo!D:E,2,FALSE)))</f>
        <v/>
      </c>
      <c r="I20" s="159"/>
      <c r="J20" s="75"/>
      <c r="K20" s="47" t="str">
        <f>IF(OR($I20&lt;&gt;"",$J20&lt;&gt;""),$K$15+$I20-$J20,"")</f>
        <v/>
      </c>
      <c r="L20" s="40"/>
      <c r="M20" s="158"/>
      <c r="N20" s="40"/>
      <c r="O20" s="194"/>
      <c r="P20" s="194"/>
      <c r="Q20" s="194"/>
      <c r="R20" s="40"/>
      <c r="S20" s="114" t="str">
        <f>IF(M20="","",VLOOKUP(M20,SaKo!A$2:C$3,3,FALSE))</f>
        <v/>
      </c>
      <c r="T20" s="146" t="str">
        <f>IF(J20="","",VLOOKUP(O20,SaKo!L:N,3,FALSE))</f>
        <v/>
      </c>
      <c r="U20" s="115" t="str">
        <f>IFERROR(IF(H20="","",IF(RIGHT(G20,1)="U",CONCATENATE(VLOOKUP(H20,SaKo!K:N,4,FALSE),9,CONCATENATE(MID(G20,1,LEN(G20)-1)))*1,CONCATENATE(VLOOKUP(H20,SaKo!K:N,4,FALSE),8,G20)*1)),"")</f>
        <v/>
      </c>
      <c r="V20" s="114" t="str">
        <f>IF(AND($J20&lt;&gt;"",$S20=1),C20,"")</f>
        <v/>
      </c>
      <c r="W20" s="116" t="str">
        <f t="shared" ref="W20:W51" si="1">IF(AND($J20&lt;&gt;"",$S20=1),$J20,"")</f>
        <v/>
      </c>
      <c r="X20" s="114" t="str">
        <f t="shared" ref="X20:X51" si="2">IF(W20="","",C20)</f>
        <v/>
      </c>
      <c r="Y20" s="117"/>
      <c r="Z20" s="146" t="str">
        <f>IF(I20="","",VLOOKUP(O20,SaKo!F:J,5,FALSE))</f>
        <v/>
      </c>
      <c r="AA20" s="115" t="str">
        <f>IFERROR(IF(H20="","",IF(RIGHT(G20,1)="U",CONCATENATE(VLOOKUP(H20,SaKo!E:J,6,FALSE),9,CONCATENATE(MID(G20,1,LEN(G20)-1)))*1,CONCATENATE(VLOOKUP(H20,SaKo!E:J,6,FALSE),8,G20)*1)),"")</f>
        <v/>
      </c>
      <c r="AB20" s="114" t="str">
        <f t="shared" ref="AB20:AB51" si="3">IF(AND($I20&lt;&gt;"",$S20=2),C20,"")</f>
        <v/>
      </c>
      <c r="AC20" s="116" t="str">
        <f t="shared" ref="AC20:AC51" si="4">IF(AND($I20&lt;&gt;"",$S20=2),$I20,"")</f>
        <v/>
      </c>
      <c r="AD20" s="120"/>
      <c r="AE20" s="79"/>
      <c r="AF20" s="79"/>
      <c r="AG20" s="119"/>
    </row>
    <row r="21" spans="1:33" ht="23.1" customHeight="1" x14ac:dyDescent="0.2">
      <c r="A21" s="120" t="str">
        <f t="shared" ref="A21:A68" si="5">AA21</f>
        <v/>
      </c>
      <c r="B21" s="79" t="str">
        <f t="shared" si="0"/>
        <v/>
      </c>
      <c r="C21" s="48">
        <v>2</v>
      </c>
      <c r="D21" s="49"/>
      <c r="E21" s="195"/>
      <c r="F21" s="195"/>
      <c r="G21" s="50"/>
      <c r="H21" s="46" t="str">
        <f>IF($S21="","",IF($S21=1,VLOOKUP($T21,SaKoBereichAufwand,2,FALSE),VLOOKUP($Z21,SaKo!D:E,2,FALSE)))</f>
        <v/>
      </c>
      <c r="I21" s="159"/>
      <c r="J21" s="75"/>
      <c r="K21" s="51" t="str">
        <f>IF(OR($I21&lt;&gt;"",$J21&lt;&gt;""),K20+I21-J21,"")</f>
        <v/>
      </c>
      <c r="L21" s="40"/>
      <c r="M21" s="158"/>
      <c r="N21" s="40"/>
      <c r="O21" s="194"/>
      <c r="P21" s="194"/>
      <c r="Q21" s="194"/>
      <c r="R21" s="40"/>
      <c r="S21" s="114" t="str">
        <f>IF(M21="","",VLOOKUP(M21,SaKo!A$2:C$3,3,FALSE))</f>
        <v/>
      </c>
      <c r="T21" s="146" t="str">
        <f>IF(J21="","",VLOOKUP(O21,SaKo!L:N,3,FALSE))</f>
        <v/>
      </c>
      <c r="U21" s="115" t="str">
        <f>IFERROR(IF(H21="","",IF(RIGHT(G21,1)="U",CONCATENATE(VLOOKUP(H21,SaKo!K:N,4,FALSE),9,CONCATENATE(MID(G21,1,LEN(G21)-1)))*1,CONCATENATE(VLOOKUP(H21,SaKo!K:N,4,FALSE),8,G21)*1)),"")</f>
        <v/>
      </c>
      <c r="V21" s="114" t="str">
        <f t="shared" ref="V21:V51" si="6">IF(AND($J21&lt;&gt;"",$S21=1),C21,"")</f>
        <v/>
      </c>
      <c r="W21" s="116" t="str">
        <f t="shared" si="1"/>
        <v/>
      </c>
      <c r="X21" s="114" t="str">
        <f t="shared" si="2"/>
        <v/>
      </c>
      <c r="Y21" s="117"/>
      <c r="Z21" s="146" t="str">
        <f>IF(I21="","",VLOOKUP(O21,SaKo!F:J,5,FALSE))</f>
        <v/>
      </c>
      <c r="AA21" s="115" t="str">
        <f>IFERROR(IF(H21="","",IF(RIGHT(G21,1)="U",CONCATENATE(VLOOKUP(H21,SaKo!E:J,6,FALSE),9,CONCATENATE(MID(G21,1,LEN(G21)-1)))*1,CONCATENATE(VLOOKUP(H21,SaKo!E:J,6,FALSE),8,G21)*1)),"")</f>
        <v/>
      </c>
      <c r="AB21" s="114" t="str">
        <f t="shared" si="3"/>
        <v/>
      </c>
      <c r="AC21" s="116" t="str">
        <f t="shared" si="4"/>
        <v/>
      </c>
      <c r="AD21" s="120"/>
      <c r="AE21" s="79"/>
      <c r="AF21" s="79"/>
    </row>
    <row r="22" spans="1:33" ht="23.1" customHeight="1" x14ac:dyDescent="0.2">
      <c r="A22" s="120" t="str">
        <f t="shared" si="5"/>
        <v/>
      </c>
      <c r="B22" s="79" t="str">
        <f t="shared" si="0"/>
        <v/>
      </c>
      <c r="C22" s="48">
        <v>3</v>
      </c>
      <c r="D22" s="49"/>
      <c r="E22" s="195"/>
      <c r="F22" s="195"/>
      <c r="G22" s="50"/>
      <c r="H22" s="46" t="str">
        <f>IF($S22="","",IF($S22=1,VLOOKUP($T22,SaKoBereichAufwand,2,FALSE),VLOOKUP($Z22,SaKo!D:E,2,FALSE)))</f>
        <v/>
      </c>
      <c r="I22" s="159"/>
      <c r="J22" s="75"/>
      <c r="K22" s="51" t="str">
        <f t="shared" ref="K22:K68" si="7">IF(OR($I22&lt;&gt;"",$J22&lt;&gt;""),K21+I22-J22,"")</f>
        <v/>
      </c>
      <c r="L22" s="40"/>
      <c r="M22" s="158"/>
      <c r="N22" s="40"/>
      <c r="O22" s="194"/>
      <c r="P22" s="194"/>
      <c r="Q22" s="194"/>
      <c r="R22" s="40"/>
      <c r="S22" s="114" t="str">
        <f>IF(M22="","",VLOOKUP(M22,SaKo!A$2:C$3,3,FALSE))</f>
        <v/>
      </c>
      <c r="T22" s="146" t="str">
        <f>IF(J22="","",VLOOKUP(O22,SaKo!L:N,3,FALSE))</f>
        <v/>
      </c>
      <c r="U22" s="115" t="str">
        <f>IFERROR(IF(H22="","",IF(RIGHT(G22,1)="U",CONCATENATE(VLOOKUP(H22,SaKo!K:N,4,FALSE),9,CONCATENATE(MID(G22,1,LEN(G22)-1)))*1,CONCATENATE(VLOOKUP(H22,SaKo!K:N,4,FALSE),8,G22)*1)),"")</f>
        <v/>
      </c>
      <c r="V22" s="114" t="str">
        <f t="shared" si="6"/>
        <v/>
      </c>
      <c r="W22" s="116" t="str">
        <f t="shared" si="1"/>
        <v/>
      </c>
      <c r="X22" s="114" t="str">
        <f t="shared" si="2"/>
        <v/>
      </c>
      <c r="Y22" s="117"/>
      <c r="Z22" s="146" t="str">
        <f>IF(I22="","",VLOOKUP(O22,SaKo!F:J,5,FALSE))</f>
        <v/>
      </c>
      <c r="AA22" s="115" t="str">
        <f>IFERROR(IF(H22="","",IF(RIGHT(G22,1)="U",CONCATENATE(VLOOKUP(H22,SaKo!E:J,6,FALSE),9,CONCATENATE(MID(G22,1,LEN(G22)-1)))*1,CONCATENATE(VLOOKUP(H22,SaKo!E:J,6,FALSE),8,G22)*1)),"")</f>
        <v/>
      </c>
      <c r="AB22" s="114" t="str">
        <f t="shared" si="3"/>
        <v/>
      </c>
      <c r="AC22" s="116" t="str">
        <f t="shared" si="4"/>
        <v/>
      </c>
      <c r="AD22" s="120"/>
      <c r="AE22" s="79"/>
      <c r="AF22" s="79"/>
    </row>
    <row r="23" spans="1:33" ht="23.1" customHeight="1" x14ac:dyDescent="0.2">
      <c r="A23" s="120" t="str">
        <f t="shared" si="5"/>
        <v/>
      </c>
      <c r="B23" s="79" t="str">
        <f>IF(W23&lt;&gt;"",CONCATENATE(S23,X23)*1,"")</f>
        <v/>
      </c>
      <c r="C23" s="48">
        <v>4</v>
      </c>
      <c r="D23" s="49"/>
      <c r="E23" s="195"/>
      <c r="F23" s="195"/>
      <c r="G23" s="50"/>
      <c r="H23" s="46" t="str">
        <f>IF($S23="","",IF($S23=1,VLOOKUP($T23,SaKoBereichAufwand,2,FALSE),VLOOKUP($Z23,SaKo!D:E,2,FALSE)))</f>
        <v/>
      </c>
      <c r="I23" s="159"/>
      <c r="J23" s="75"/>
      <c r="K23" s="51" t="str">
        <f>IF(OR($I23&lt;&gt;"",$J23&lt;&gt;""),K22+I23-J23,"")</f>
        <v/>
      </c>
      <c r="L23" s="40"/>
      <c r="M23" s="158"/>
      <c r="N23" s="40"/>
      <c r="O23" s="194"/>
      <c r="P23" s="194"/>
      <c r="Q23" s="194"/>
      <c r="R23" s="40"/>
      <c r="S23" s="114" t="str">
        <f>IF(M23="","",VLOOKUP(M23,SaKo!A$2:C$3,3,FALSE))</f>
        <v/>
      </c>
      <c r="T23" s="146" t="str">
        <f>IF(J23="","",VLOOKUP(O23,SaKo!L:N,3,FALSE))</f>
        <v/>
      </c>
      <c r="U23" s="115" t="str">
        <f>IFERROR(IF(H23="","",IF(RIGHT(G23,1)="U",CONCATENATE(VLOOKUP(H23,SaKo!K:N,4,FALSE),9,CONCATENATE(MID(G23,1,LEN(G23)-1)))*1,CONCATENATE(VLOOKUP(H23,SaKo!K:N,4,FALSE),8,G23)*1)),"")</f>
        <v/>
      </c>
      <c r="V23" s="114" t="str">
        <f t="shared" si="6"/>
        <v/>
      </c>
      <c r="W23" s="116" t="str">
        <f t="shared" si="1"/>
        <v/>
      </c>
      <c r="X23" s="114" t="str">
        <f t="shared" si="2"/>
        <v/>
      </c>
      <c r="Y23" s="117"/>
      <c r="Z23" s="146" t="str">
        <f>IF(I23="","",VLOOKUP(O23,SaKo!F:J,5,FALSE))</f>
        <v/>
      </c>
      <c r="AA23" s="115" t="str">
        <f>IFERROR(IF(H23="","",IF(RIGHT(G23,1)="U",CONCATENATE(VLOOKUP(H23,SaKo!E:J,6,FALSE),9,CONCATENATE(MID(G23,1,LEN(G23)-1)))*1,CONCATENATE(VLOOKUP(H23,SaKo!E:J,6,FALSE),8,G23)*1)),"")</f>
        <v/>
      </c>
      <c r="AB23" s="114" t="str">
        <f t="shared" si="3"/>
        <v/>
      </c>
      <c r="AC23" s="116" t="str">
        <f t="shared" si="4"/>
        <v/>
      </c>
      <c r="AD23" s="120"/>
      <c r="AE23" s="79"/>
      <c r="AF23" s="79"/>
    </row>
    <row r="24" spans="1:33" ht="23.1" customHeight="1" x14ac:dyDescent="0.2">
      <c r="A24" s="120" t="str">
        <f t="shared" si="5"/>
        <v/>
      </c>
      <c r="B24" s="79" t="str">
        <f t="shared" ref="B24:B42" si="8">IF(W24&lt;&gt;"",CONCATENATE(S24,X24)*1,"")</f>
        <v/>
      </c>
      <c r="C24" s="48">
        <v>5</v>
      </c>
      <c r="D24" s="49"/>
      <c r="E24" s="195"/>
      <c r="F24" s="195"/>
      <c r="G24" s="50"/>
      <c r="H24" s="46" t="str">
        <f>IF($S24="","",IF($S24=1,VLOOKUP($T24,SaKoBereichAufwand,2,FALSE),VLOOKUP($Z24,SaKo!D:E,2,FALSE)))</f>
        <v/>
      </c>
      <c r="I24" s="159"/>
      <c r="J24" s="75"/>
      <c r="K24" s="51" t="str">
        <f t="shared" si="7"/>
        <v/>
      </c>
      <c r="L24" s="40"/>
      <c r="M24" s="158"/>
      <c r="N24" s="40"/>
      <c r="O24" s="194"/>
      <c r="P24" s="194"/>
      <c r="Q24" s="194"/>
      <c r="R24" s="40"/>
      <c r="S24" s="114" t="str">
        <f>IF(M24="","",VLOOKUP(M24,SaKo!A$2:C$3,3,FALSE))</f>
        <v/>
      </c>
      <c r="T24" s="146" t="str">
        <f>IF(J24="","",VLOOKUP(O24,SaKo!L:N,3,FALSE))</f>
        <v/>
      </c>
      <c r="U24" s="115" t="str">
        <f>IFERROR(IF(H24="","",IF(RIGHT(G24,1)="U",CONCATENATE(VLOOKUP(H24,SaKo!K:N,4,FALSE),9,CONCATENATE(MID(G24,1,LEN(G24)-1)))*1,CONCATENATE(VLOOKUP(H24,SaKo!K:N,4,FALSE),8,G24)*1)),"")</f>
        <v/>
      </c>
      <c r="V24" s="114" t="str">
        <f t="shared" si="6"/>
        <v/>
      </c>
      <c r="W24" s="116" t="str">
        <f t="shared" si="1"/>
        <v/>
      </c>
      <c r="X24" s="114" t="str">
        <f t="shared" si="2"/>
        <v/>
      </c>
      <c r="Y24" s="117"/>
      <c r="Z24" s="146" t="str">
        <f>IF(I24="","",VLOOKUP(O24,SaKo!F:J,5,FALSE))</f>
        <v/>
      </c>
      <c r="AA24" s="115" t="str">
        <f>IFERROR(IF(H24="","",IF(RIGHT(G24,1)="U",CONCATENATE(VLOOKUP(H24,SaKo!E:J,6,FALSE),9,CONCATENATE(MID(G24,1,LEN(G24)-1)))*1,CONCATENATE(VLOOKUP(H24,SaKo!E:J,6,FALSE),8,G24)*1)),"")</f>
        <v/>
      </c>
      <c r="AB24" s="114" t="str">
        <f t="shared" si="3"/>
        <v/>
      </c>
      <c r="AC24" s="116" t="str">
        <f t="shared" si="4"/>
        <v/>
      </c>
      <c r="AD24" s="120"/>
      <c r="AE24" s="79"/>
      <c r="AF24" s="79"/>
    </row>
    <row r="25" spans="1:33" ht="23.1" customHeight="1" x14ac:dyDescent="0.2">
      <c r="A25" s="120" t="str">
        <f t="shared" si="5"/>
        <v/>
      </c>
      <c r="B25" s="79" t="str">
        <f>IF(W25&lt;&gt;"",CONCATENATE(S25,X25)*1,"")</f>
        <v/>
      </c>
      <c r="C25" s="48">
        <v>6</v>
      </c>
      <c r="D25" s="49"/>
      <c r="E25" s="195"/>
      <c r="F25" s="195"/>
      <c r="G25" s="50"/>
      <c r="H25" s="46" t="str">
        <f>IF($S25="","",IF($S25=1,VLOOKUP($T25,SaKoBereichAufwand,2,FALSE),VLOOKUP($Z25,SaKo!D:E,2,FALSE)))</f>
        <v/>
      </c>
      <c r="I25" s="159"/>
      <c r="J25" s="75"/>
      <c r="K25" s="51" t="str">
        <f t="shared" si="7"/>
        <v/>
      </c>
      <c r="L25" s="40"/>
      <c r="M25" s="158"/>
      <c r="N25" s="40"/>
      <c r="O25" s="194"/>
      <c r="P25" s="194"/>
      <c r="Q25" s="194"/>
      <c r="R25" s="40"/>
      <c r="S25" s="114" t="str">
        <f>IF(M25="","",VLOOKUP(M25,SaKo!A$2:C$3,3,FALSE))</f>
        <v/>
      </c>
      <c r="T25" s="146" t="str">
        <f>IF(J25="","",VLOOKUP(O25,SaKo!L:N,3,FALSE))</f>
        <v/>
      </c>
      <c r="U25" s="115" t="str">
        <f>IFERROR(IF(H25="","",IF(RIGHT(G25,1)="U",CONCATENATE(VLOOKUP(H25,SaKo!K:N,4,FALSE),9,CONCATENATE(MID(G25,1,LEN(G25)-1)))*1,CONCATENATE(VLOOKUP(H25,SaKo!K:N,4,FALSE),8,G25)*1)),"")</f>
        <v/>
      </c>
      <c r="V25" s="114" t="str">
        <f t="shared" si="6"/>
        <v/>
      </c>
      <c r="W25" s="116" t="str">
        <f t="shared" si="1"/>
        <v/>
      </c>
      <c r="X25" s="114" t="str">
        <f t="shared" si="2"/>
        <v/>
      </c>
      <c r="Y25" s="117"/>
      <c r="Z25" s="146" t="str">
        <f>IF(I25="","",VLOOKUP(O25,SaKo!F:J,5,FALSE))</f>
        <v/>
      </c>
      <c r="AA25" s="115" t="str">
        <f>IFERROR(IF(H25="","",IF(RIGHT(G25,1)="U",CONCATENATE(VLOOKUP(H25,SaKo!E:J,6,FALSE),9,CONCATENATE(MID(G25,1,LEN(G25)-1)))*1,CONCATENATE(VLOOKUP(H25,SaKo!E:J,6,FALSE),8,G25)*1)),"")</f>
        <v/>
      </c>
      <c r="AB25" s="114" t="str">
        <f t="shared" si="3"/>
        <v/>
      </c>
      <c r="AC25" s="116" t="str">
        <f t="shared" si="4"/>
        <v/>
      </c>
      <c r="AD25" s="120"/>
      <c r="AE25" s="79"/>
      <c r="AF25" s="79"/>
    </row>
    <row r="26" spans="1:33" ht="23.1" customHeight="1" x14ac:dyDescent="0.2">
      <c r="A26" s="120" t="str">
        <f t="shared" si="5"/>
        <v/>
      </c>
      <c r="B26" s="79" t="str">
        <f t="shared" si="8"/>
        <v/>
      </c>
      <c r="C26" s="48">
        <v>7</v>
      </c>
      <c r="D26" s="49"/>
      <c r="E26" s="195"/>
      <c r="F26" s="195"/>
      <c r="G26" s="50"/>
      <c r="H26" s="46" t="str">
        <f>IF($S26="","",IF($S26=1,VLOOKUP($T26,SaKoBereichAufwand,2,FALSE),VLOOKUP($Z26,SaKo!D:E,2,FALSE)))</f>
        <v/>
      </c>
      <c r="I26" s="159"/>
      <c r="J26" s="75"/>
      <c r="K26" s="51" t="str">
        <f t="shared" si="7"/>
        <v/>
      </c>
      <c r="L26" s="40"/>
      <c r="M26" s="158"/>
      <c r="N26" s="40"/>
      <c r="O26" s="194"/>
      <c r="P26" s="194"/>
      <c r="Q26" s="194"/>
      <c r="R26" s="40"/>
      <c r="S26" s="114" t="str">
        <f>IF(M26="","",VLOOKUP(M26,SaKo!A$2:C$3,3,FALSE))</f>
        <v/>
      </c>
      <c r="T26" s="146" t="str">
        <f>IF(J26="","",VLOOKUP(O26,SaKo!L:N,3,FALSE))</f>
        <v/>
      </c>
      <c r="U26" s="115" t="str">
        <f>IFERROR(IF(H26="","",IF(RIGHT(G26,1)="U",CONCATENATE(VLOOKUP(H26,SaKo!K:N,4,FALSE),9,CONCATENATE(MID(G26,1,LEN(G26)-1)))*1,CONCATENATE(VLOOKUP(H26,SaKo!K:N,4,FALSE),8,G26)*1)),"")</f>
        <v/>
      </c>
      <c r="V26" s="114" t="str">
        <f t="shared" si="6"/>
        <v/>
      </c>
      <c r="W26" s="116" t="str">
        <f t="shared" si="1"/>
        <v/>
      </c>
      <c r="X26" s="114" t="str">
        <f t="shared" si="2"/>
        <v/>
      </c>
      <c r="Y26" s="117"/>
      <c r="Z26" s="146" t="str">
        <f>IF(I26="","",VLOOKUP(O26,SaKo!F:J,5,FALSE))</f>
        <v/>
      </c>
      <c r="AA26" s="115" t="str">
        <f>IFERROR(IF(H26="","",IF(RIGHT(G26,1)="U",CONCATENATE(VLOOKUP(H26,SaKo!E:J,6,FALSE),9,CONCATENATE(MID(G26,1,LEN(G26)-1)))*1,CONCATENATE(VLOOKUP(H26,SaKo!E:J,6,FALSE),8,G26)*1)),"")</f>
        <v/>
      </c>
      <c r="AB26" s="114" t="str">
        <f t="shared" si="3"/>
        <v/>
      </c>
      <c r="AC26" s="116" t="str">
        <f t="shared" si="4"/>
        <v/>
      </c>
      <c r="AD26" s="120"/>
      <c r="AE26" s="79"/>
      <c r="AF26" s="79"/>
    </row>
    <row r="27" spans="1:33" ht="23.1" customHeight="1" x14ac:dyDescent="0.2">
      <c r="A27" s="120" t="str">
        <f t="shared" si="5"/>
        <v/>
      </c>
      <c r="B27" s="79" t="str">
        <f t="shared" si="8"/>
        <v/>
      </c>
      <c r="C27" s="48">
        <v>8</v>
      </c>
      <c r="D27" s="49"/>
      <c r="E27" s="195"/>
      <c r="F27" s="195"/>
      <c r="G27" s="50"/>
      <c r="H27" s="46" t="str">
        <f>IF($S27="","",IF($S27=1,VLOOKUP($T27,SaKoBereichAufwand,2,FALSE),VLOOKUP($Z27,SaKo!D:E,2,FALSE)))</f>
        <v/>
      </c>
      <c r="I27" s="159"/>
      <c r="J27" s="75"/>
      <c r="K27" s="51" t="str">
        <f t="shared" si="7"/>
        <v/>
      </c>
      <c r="L27" s="40"/>
      <c r="M27" s="158"/>
      <c r="N27" s="40"/>
      <c r="O27" s="194"/>
      <c r="P27" s="194"/>
      <c r="Q27" s="194"/>
      <c r="R27" s="40"/>
      <c r="S27" s="114" t="str">
        <f>IF(M27="","",VLOOKUP(M27,SaKo!A$2:C$3,3,FALSE))</f>
        <v/>
      </c>
      <c r="T27" s="146" t="str">
        <f>IF(J27="","",VLOOKUP(O27,SaKo!L:N,3,FALSE))</f>
        <v/>
      </c>
      <c r="U27" s="115" t="str">
        <f>IFERROR(IF(H27="","",IF(RIGHT(G27,1)="U",CONCATENATE(VLOOKUP(H27,SaKo!K:N,4,FALSE),9,CONCATENATE(MID(G27,1,LEN(G27)-1)))*1,CONCATENATE(VLOOKUP(H27,SaKo!K:N,4,FALSE),8,G27)*1)),"")</f>
        <v/>
      </c>
      <c r="V27" s="114" t="str">
        <f t="shared" si="6"/>
        <v/>
      </c>
      <c r="W27" s="116" t="str">
        <f t="shared" si="1"/>
        <v/>
      </c>
      <c r="X27" s="114" t="str">
        <f t="shared" si="2"/>
        <v/>
      </c>
      <c r="Y27" s="117"/>
      <c r="Z27" s="146" t="str">
        <f>IF(I27="","",VLOOKUP(O27,SaKo!F:J,5,FALSE))</f>
        <v/>
      </c>
      <c r="AA27" s="115" t="str">
        <f>IFERROR(IF(H27="","",IF(RIGHT(G27,1)="U",CONCATENATE(VLOOKUP(H27,SaKo!E:J,6,FALSE),9,CONCATENATE(MID(G27,1,LEN(G27)-1)))*1,CONCATENATE(VLOOKUP(H27,SaKo!E:J,6,FALSE),8,G27)*1)),"")</f>
        <v/>
      </c>
      <c r="AB27" s="114" t="str">
        <f t="shared" si="3"/>
        <v/>
      </c>
      <c r="AC27" s="116" t="str">
        <f t="shared" si="4"/>
        <v/>
      </c>
      <c r="AD27" s="120"/>
      <c r="AE27" s="79"/>
      <c r="AF27" s="79"/>
    </row>
    <row r="28" spans="1:33" ht="23.1" customHeight="1" x14ac:dyDescent="0.2">
      <c r="A28" s="120" t="str">
        <f t="shared" si="5"/>
        <v/>
      </c>
      <c r="B28" s="79" t="str">
        <f t="shared" si="8"/>
        <v/>
      </c>
      <c r="C28" s="48">
        <v>9</v>
      </c>
      <c r="D28" s="49"/>
      <c r="E28" s="195"/>
      <c r="F28" s="195"/>
      <c r="G28" s="50"/>
      <c r="H28" s="46" t="str">
        <f>IF($S28="","",IF($S28=1,VLOOKUP($T28,SaKoBereichAufwand,2,FALSE),VLOOKUP($Z28,SaKo!D:E,2,FALSE)))</f>
        <v/>
      </c>
      <c r="I28" s="159"/>
      <c r="J28" s="75"/>
      <c r="K28" s="51" t="str">
        <f t="shared" si="7"/>
        <v/>
      </c>
      <c r="L28" s="40"/>
      <c r="M28" s="158"/>
      <c r="N28" s="40"/>
      <c r="O28" s="194"/>
      <c r="P28" s="194"/>
      <c r="Q28" s="194"/>
      <c r="R28" s="40"/>
      <c r="S28" s="114" t="str">
        <f>IF(M28="","",VLOOKUP(M28,SaKo!A$2:C$3,3,FALSE))</f>
        <v/>
      </c>
      <c r="T28" s="146" t="str">
        <f>IF(J28="","",VLOOKUP(O28,SaKo!L:N,3,FALSE))</f>
        <v/>
      </c>
      <c r="U28" s="115" t="str">
        <f>IFERROR(IF(H28="","",IF(RIGHT(G28,1)="U",CONCATENATE(VLOOKUP(H28,SaKo!K:N,4,FALSE),9,CONCATENATE(MID(G28,1,LEN(G28)-1)))*1,CONCATENATE(VLOOKUP(H28,SaKo!K:N,4,FALSE),8,G28)*1)),"")</f>
        <v/>
      </c>
      <c r="V28" s="114" t="str">
        <f t="shared" si="6"/>
        <v/>
      </c>
      <c r="W28" s="116" t="str">
        <f t="shared" si="1"/>
        <v/>
      </c>
      <c r="X28" s="114" t="str">
        <f t="shared" si="2"/>
        <v/>
      </c>
      <c r="Y28" s="117"/>
      <c r="Z28" s="146" t="str">
        <f>IF(I28="","",VLOOKUP(O28,SaKo!F:J,5,FALSE))</f>
        <v/>
      </c>
      <c r="AA28" s="115" t="str">
        <f>IFERROR(IF(H28="","",IF(RIGHT(G28,1)="U",CONCATENATE(VLOOKUP(H28,SaKo!E:J,6,FALSE),9,CONCATENATE(MID(G28,1,LEN(G28)-1)))*1,CONCATENATE(VLOOKUP(H28,SaKo!E:J,6,FALSE),8,G28)*1)),"")</f>
        <v/>
      </c>
      <c r="AB28" s="114" t="str">
        <f t="shared" si="3"/>
        <v/>
      </c>
      <c r="AC28" s="116" t="str">
        <f t="shared" si="4"/>
        <v/>
      </c>
      <c r="AD28" s="120"/>
      <c r="AE28" s="79"/>
      <c r="AF28" s="79"/>
    </row>
    <row r="29" spans="1:33" ht="23.1" customHeight="1" x14ac:dyDescent="0.2">
      <c r="A29" s="120" t="str">
        <f t="shared" si="5"/>
        <v/>
      </c>
      <c r="B29" s="79" t="str">
        <f t="shared" si="8"/>
        <v/>
      </c>
      <c r="C29" s="48">
        <v>10</v>
      </c>
      <c r="D29" s="49"/>
      <c r="E29" s="195"/>
      <c r="F29" s="195"/>
      <c r="G29" s="50"/>
      <c r="H29" s="46" t="str">
        <f>IF($S29="","",IF($S29=1,VLOOKUP($T29,SaKoBereichAufwand,2,FALSE),VLOOKUP($Z29,SaKo!D:E,2,FALSE)))</f>
        <v/>
      </c>
      <c r="I29" s="159"/>
      <c r="J29" s="75"/>
      <c r="K29" s="51" t="str">
        <f t="shared" si="7"/>
        <v/>
      </c>
      <c r="L29" s="40"/>
      <c r="M29" s="158"/>
      <c r="N29" s="40"/>
      <c r="O29" s="194"/>
      <c r="P29" s="194"/>
      <c r="Q29" s="194"/>
      <c r="R29" s="40"/>
      <c r="S29" s="114" t="str">
        <f>IF(M29="","",VLOOKUP(M29,SaKo!A$2:C$3,3,FALSE))</f>
        <v/>
      </c>
      <c r="T29" s="146" t="str">
        <f>IF(J29="","",VLOOKUP(O29,SaKo!L:N,3,FALSE))</f>
        <v/>
      </c>
      <c r="U29" s="115" t="str">
        <f>IFERROR(IF(H29="","",IF(RIGHT(G29,1)="U",CONCATENATE(VLOOKUP(H29,SaKo!K:N,4,FALSE),9,CONCATENATE(MID(G29,1,LEN(G29)-1)))*1,CONCATENATE(VLOOKUP(H29,SaKo!K:N,4,FALSE),8,G29)*1)),"")</f>
        <v/>
      </c>
      <c r="V29" s="114" t="str">
        <f t="shared" si="6"/>
        <v/>
      </c>
      <c r="W29" s="116" t="str">
        <f t="shared" si="1"/>
        <v/>
      </c>
      <c r="X29" s="114" t="str">
        <f t="shared" si="2"/>
        <v/>
      </c>
      <c r="Y29" s="117"/>
      <c r="Z29" s="146" t="str">
        <f>IF(I29="","",VLOOKUP(O29,SaKo!F:J,5,FALSE))</f>
        <v/>
      </c>
      <c r="AA29" s="115" t="str">
        <f>IFERROR(IF(H29="","",IF(RIGHT(G29,1)="U",CONCATENATE(VLOOKUP(H29,SaKo!E:J,6,FALSE),9,CONCATENATE(MID(G29,1,LEN(G29)-1)))*1,CONCATENATE(VLOOKUP(H29,SaKo!E:J,6,FALSE),8,G29)*1)),"")</f>
        <v/>
      </c>
      <c r="AB29" s="114" t="str">
        <f t="shared" si="3"/>
        <v/>
      </c>
      <c r="AC29" s="116" t="str">
        <f t="shared" si="4"/>
        <v/>
      </c>
      <c r="AD29" s="120"/>
      <c r="AE29" s="79"/>
      <c r="AF29" s="79"/>
    </row>
    <row r="30" spans="1:33" ht="23.1" customHeight="1" x14ac:dyDescent="0.2">
      <c r="A30" s="120" t="str">
        <f t="shared" si="5"/>
        <v/>
      </c>
      <c r="B30" s="79" t="str">
        <f t="shared" si="8"/>
        <v/>
      </c>
      <c r="C30" s="48">
        <v>11</v>
      </c>
      <c r="D30" s="49"/>
      <c r="E30" s="195"/>
      <c r="F30" s="195"/>
      <c r="G30" s="50"/>
      <c r="H30" s="46" t="str">
        <f>IF($S30="","",IF($S30=1,VLOOKUP($T30,SaKoBereichAufwand,2,FALSE),VLOOKUP($Z30,SaKo!D:E,2,FALSE)))</f>
        <v/>
      </c>
      <c r="I30" s="159"/>
      <c r="J30" s="75"/>
      <c r="K30" s="51" t="str">
        <f t="shared" si="7"/>
        <v/>
      </c>
      <c r="L30" s="40"/>
      <c r="M30" s="158"/>
      <c r="N30" s="40"/>
      <c r="O30" s="194"/>
      <c r="P30" s="194"/>
      <c r="Q30" s="194"/>
      <c r="R30" s="40"/>
      <c r="S30" s="114" t="str">
        <f>IF(M30="","",VLOOKUP(M30,SaKo!A$2:C$3,3,FALSE))</f>
        <v/>
      </c>
      <c r="T30" s="146" t="str">
        <f>IF(J30="","",VLOOKUP(O30,SaKo!L:N,3,FALSE))</f>
        <v/>
      </c>
      <c r="U30" s="115" t="str">
        <f>IFERROR(IF(H30="","",IF(RIGHT(G30,1)="U",CONCATENATE(VLOOKUP(H30,SaKo!K:N,4,FALSE),9,CONCATENATE(MID(G30,1,LEN(G30)-1)))*1,CONCATENATE(VLOOKUP(H30,SaKo!K:N,4,FALSE),8,G30)*1)),"")</f>
        <v/>
      </c>
      <c r="V30" s="114" t="str">
        <f t="shared" si="6"/>
        <v/>
      </c>
      <c r="W30" s="116" t="str">
        <f t="shared" si="1"/>
        <v/>
      </c>
      <c r="X30" s="114" t="str">
        <f t="shared" si="2"/>
        <v/>
      </c>
      <c r="Y30" s="117"/>
      <c r="Z30" s="146" t="str">
        <f>IF(I30="","",VLOOKUP(O30,SaKo!F:J,5,FALSE))</f>
        <v/>
      </c>
      <c r="AA30" s="115" t="str">
        <f>IFERROR(IF(H30="","",IF(RIGHT(G30,1)="U",CONCATENATE(VLOOKUP(H30,SaKo!E:J,6,FALSE),9,CONCATENATE(MID(G30,1,LEN(G30)-1)))*1,CONCATENATE(VLOOKUP(H30,SaKo!E:J,6,FALSE),8,G30)*1)),"")</f>
        <v/>
      </c>
      <c r="AB30" s="114" t="str">
        <f t="shared" si="3"/>
        <v/>
      </c>
      <c r="AC30" s="116" t="str">
        <f t="shared" si="4"/>
        <v/>
      </c>
      <c r="AD30" s="120"/>
      <c r="AE30" s="79"/>
      <c r="AF30" s="79"/>
    </row>
    <row r="31" spans="1:33" ht="23.1" customHeight="1" x14ac:dyDescent="0.2">
      <c r="A31" s="120" t="str">
        <f t="shared" si="5"/>
        <v/>
      </c>
      <c r="B31" s="79" t="str">
        <f t="shared" si="8"/>
        <v/>
      </c>
      <c r="C31" s="48">
        <v>12</v>
      </c>
      <c r="D31" s="49"/>
      <c r="E31" s="195"/>
      <c r="F31" s="195"/>
      <c r="G31" s="50"/>
      <c r="H31" s="46" t="str">
        <f>IF($S31="","",IF($S31=1,VLOOKUP($T31,SaKoBereichAufwand,2,FALSE),VLOOKUP($Z31,SaKo!D:E,2,FALSE)))</f>
        <v/>
      </c>
      <c r="I31" s="159"/>
      <c r="J31" s="75"/>
      <c r="K31" s="51" t="str">
        <f t="shared" si="7"/>
        <v/>
      </c>
      <c r="L31" s="40"/>
      <c r="M31" s="158"/>
      <c r="N31" s="40"/>
      <c r="O31" s="194"/>
      <c r="P31" s="194"/>
      <c r="Q31" s="194"/>
      <c r="R31" s="40"/>
      <c r="S31" s="114" t="str">
        <f>IF(M31="","",VLOOKUP(M31,SaKo!A$2:C$3,3,FALSE))</f>
        <v/>
      </c>
      <c r="T31" s="146" t="str">
        <f>IF(J31="","",VLOOKUP(O31,SaKo!L:N,3,FALSE))</f>
        <v/>
      </c>
      <c r="U31" s="115" t="str">
        <f>IFERROR(IF(H31="","",IF(RIGHT(G31,1)="U",CONCATENATE(VLOOKUP(H31,SaKo!K:N,4,FALSE),9,CONCATENATE(MID(G31,1,LEN(G31)-1)))*1,CONCATENATE(VLOOKUP(H31,SaKo!K:N,4,FALSE),8,G31)*1)),"")</f>
        <v/>
      </c>
      <c r="V31" s="114" t="str">
        <f t="shared" si="6"/>
        <v/>
      </c>
      <c r="W31" s="116" t="str">
        <f t="shared" si="1"/>
        <v/>
      </c>
      <c r="X31" s="114" t="str">
        <f t="shared" si="2"/>
        <v/>
      </c>
      <c r="Y31" s="117"/>
      <c r="Z31" s="146" t="str">
        <f>IF(I31="","",VLOOKUP(O31,SaKo!F:J,5,FALSE))</f>
        <v/>
      </c>
      <c r="AA31" s="115" t="str">
        <f>IFERROR(IF(H31="","",IF(RIGHT(G31,1)="U",CONCATENATE(VLOOKUP(H31,SaKo!E:J,6,FALSE),9,CONCATENATE(MID(G31,1,LEN(G31)-1)))*1,CONCATENATE(VLOOKUP(H31,SaKo!E:J,6,FALSE),8,G31)*1)),"")</f>
        <v/>
      </c>
      <c r="AB31" s="114" t="str">
        <f t="shared" si="3"/>
        <v/>
      </c>
      <c r="AC31" s="116" t="str">
        <f t="shared" si="4"/>
        <v/>
      </c>
      <c r="AD31" s="120"/>
      <c r="AE31" s="79"/>
      <c r="AF31" s="79"/>
    </row>
    <row r="32" spans="1:33" ht="23.1" customHeight="1" x14ac:dyDescent="0.2">
      <c r="A32" s="120" t="str">
        <f t="shared" si="5"/>
        <v/>
      </c>
      <c r="B32" s="79" t="str">
        <f t="shared" si="8"/>
        <v/>
      </c>
      <c r="C32" s="48">
        <v>13</v>
      </c>
      <c r="D32" s="49"/>
      <c r="E32" s="195"/>
      <c r="F32" s="195"/>
      <c r="G32" s="50"/>
      <c r="H32" s="46" t="str">
        <f>IF($S32="","",IF($S32=1,VLOOKUP($T32,SaKoBereichAufwand,2,FALSE),VLOOKUP($Z32,SaKo!D:E,2,FALSE)))</f>
        <v/>
      </c>
      <c r="I32" s="159"/>
      <c r="J32" s="75"/>
      <c r="K32" s="51" t="str">
        <f t="shared" si="7"/>
        <v/>
      </c>
      <c r="L32" s="40"/>
      <c r="M32" s="158"/>
      <c r="N32" s="40"/>
      <c r="O32" s="194"/>
      <c r="P32" s="194"/>
      <c r="Q32" s="194"/>
      <c r="R32" s="40"/>
      <c r="S32" s="114" t="str">
        <f>IF(M32="","",VLOOKUP(M32,SaKo!A$2:C$3,3,FALSE))</f>
        <v/>
      </c>
      <c r="T32" s="146" t="str">
        <f>IF(J32="","",VLOOKUP(O32,SaKo!L:N,3,FALSE))</f>
        <v/>
      </c>
      <c r="U32" s="115" t="str">
        <f>IFERROR(IF(H32="","",IF(RIGHT(G32,1)="U",CONCATENATE(VLOOKUP(H32,SaKo!K:N,4,FALSE),9,CONCATENATE(MID(G32,1,LEN(G32)-1)))*1,CONCATENATE(VLOOKUP(H32,SaKo!K:N,4,FALSE),8,G32)*1)),"")</f>
        <v/>
      </c>
      <c r="V32" s="114" t="str">
        <f t="shared" si="6"/>
        <v/>
      </c>
      <c r="W32" s="116" t="str">
        <f t="shared" si="1"/>
        <v/>
      </c>
      <c r="X32" s="114" t="str">
        <f t="shared" si="2"/>
        <v/>
      </c>
      <c r="Y32" s="117"/>
      <c r="Z32" s="146" t="str">
        <f>IF(I32="","",VLOOKUP(O32,SaKo!F:J,5,FALSE))</f>
        <v/>
      </c>
      <c r="AA32" s="115" t="str">
        <f>IFERROR(IF(H32="","",IF(RIGHT(G32,1)="U",CONCATENATE(VLOOKUP(H32,SaKo!E:J,6,FALSE),9,CONCATENATE(MID(G32,1,LEN(G32)-1)))*1,CONCATENATE(VLOOKUP(H32,SaKo!E:J,6,FALSE),8,G32)*1)),"")</f>
        <v/>
      </c>
      <c r="AB32" s="114" t="str">
        <f t="shared" si="3"/>
        <v/>
      </c>
      <c r="AC32" s="116" t="str">
        <f t="shared" si="4"/>
        <v/>
      </c>
      <c r="AD32" s="120"/>
      <c r="AE32" s="79"/>
      <c r="AF32" s="79"/>
    </row>
    <row r="33" spans="1:32" ht="23.1" customHeight="1" x14ac:dyDescent="0.2">
      <c r="A33" s="120" t="str">
        <f t="shared" si="5"/>
        <v/>
      </c>
      <c r="B33" s="79" t="str">
        <f t="shared" si="8"/>
        <v/>
      </c>
      <c r="C33" s="48">
        <v>14</v>
      </c>
      <c r="D33" s="49"/>
      <c r="E33" s="195"/>
      <c r="F33" s="195"/>
      <c r="G33" s="50"/>
      <c r="H33" s="46" t="str">
        <f>IF($S33="","",IF($S33=1,VLOOKUP($T33,SaKoBereichAufwand,2,FALSE),VLOOKUP($Z33,SaKo!D:E,2,FALSE)))</f>
        <v/>
      </c>
      <c r="I33" s="159"/>
      <c r="J33" s="75"/>
      <c r="K33" s="51" t="str">
        <f t="shared" si="7"/>
        <v/>
      </c>
      <c r="L33" s="40"/>
      <c r="M33" s="158"/>
      <c r="N33" s="40"/>
      <c r="O33" s="194"/>
      <c r="P33" s="194"/>
      <c r="Q33" s="194"/>
      <c r="R33" s="40"/>
      <c r="S33" s="114" t="str">
        <f>IF(M33="","",VLOOKUP(M33,SaKo!A$2:C$3,3,FALSE))</f>
        <v/>
      </c>
      <c r="T33" s="146" t="str">
        <f>IF(J33="","",VLOOKUP(O33,SaKo!L:N,3,FALSE))</f>
        <v/>
      </c>
      <c r="U33" s="115" t="str">
        <f>IFERROR(IF(H33="","",IF(RIGHT(G33,1)="U",CONCATENATE(VLOOKUP(H33,SaKo!K:N,4,FALSE),9,CONCATENATE(MID(G33,1,LEN(G33)-1)))*1,CONCATENATE(VLOOKUP(H33,SaKo!K:N,4,FALSE),8,G33)*1)),"")</f>
        <v/>
      </c>
      <c r="V33" s="114" t="str">
        <f t="shared" si="6"/>
        <v/>
      </c>
      <c r="W33" s="116" t="str">
        <f t="shared" si="1"/>
        <v/>
      </c>
      <c r="X33" s="114" t="str">
        <f t="shared" si="2"/>
        <v/>
      </c>
      <c r="Y33" s="117"/>
      <c r="Z33" s="146" t="str">
        <f>IF(I33="","",VLOOKUP(O33,SaKo!F:J,5,FALSE))</f>
        <v/>
      </c>
      <c r="AA33" s="115" t="str">
        <f>IFERROR(IF(H33="","",IF(RIGHT(G33,1)="U",CONCATENATE(VLOOKUP(H33,SaKo!E:J,6,FALSE),9,CONCATENATE(MID(G33,1,LEN(G33)-1)))*1,CONCATENATE(VLOOKUP(H33,SaKo!E:J,6,FALSE),8,G33)*1)),"")</f>
        <v/>
      </c>
      <c r="AB33" s="114" t="str">
        <f t="shared" si="3"/>
        <v/>
      </c>
      <c r="AC33" s="116" t="str">
        <f t="shared" si="4"/>
        <v/>
      </c>
      <c r="AD33" s="120"/>
      <c r="AE33" s="79"/>
      <c r="AF33" s="79"/>
    </row>
    <row r="34" spans="1:32" ht="23.1" customHeight="1" x14ac:dyDescent="0.2">
      <c r="A34" s="120" t="str">
        <f t="shared" si="5"/>
        <v/>
      </c>
      <c r="B34" s="79" t="str">
        <f t="shared" si="8"/>
        <v/>
      </c>
      <c r="C34" s="48">
        <v>15</v>
      </c>
      <c r="D34" s="49"/>
      <c r="E34" s="195"/>
      <c r="F34" s="195"/>
      <c r="G34" s="50"/>
      <c r="H34" s="46" t="str">
        <f>IF($S34="","",IF($S34=1,VLOOKUP($T34,SaKoBereichAufwand,2,FALSE),VLOOKUP($Z34,SaKo!D:E,2,FALSE)))</f>
        <v/>
      </c>
      <c r="I34" s="159"/>
      <c r="J34" s="75"/>
      <c r="K34" s="51" t="str">
        <f t="shared" si="7"/>
        <v/>
      </c>
      <c r="L34" s="40"/>
      <c r="M34" s="158"/>
      <c r="N34" s="40"/>
      <c r="O34" s="194"/>
      <c r="P34" s="194"/>
      <c r="Q34" s="194"/>
      <c r="R34" s="40"/>
      <c r="S34" s="114" t="str">
        <f>IF(M34="","",VLOOKUP(M34,SaKo!A$2:C$3,3,FALSE))</f>
        <v/>
      </c>
      <c r="T34" s="146" t="str">
        <f>IF(J34="","",VLOOKUP(O34,SaKo!L:N,3,FALSE))</f>
        <v/>
      </c>
      <c r="U34" s="115" t="str">
        <f>IFERROR(IF(H34="","",IF(RIGHT(G34,1)="U",CONCATENATE(VLOOKUP(H34,SaKo!K:N,4,FALSE),9,CONCATENATE(MID(G34,1,LEN(G34)-1)))*1,CONCATENATE(VLOOKUP(H34,SaKo!K:N,4,FALSE),8,G34)*1)),"")</f>
        <v/>
      </c>
      <c r="V34" s="114" t="str">
        <f t="shared" si="6"/>
        <v/>
      </c>
      <c r="W34" s="116" t="str">
        <f t="shared" si="1"/>
        <v/>
      </c>
      <c r="X34" s="114" t="str">
        <f t="shared" si="2"/>
        <v/>
      </c>
      <c r="Y34" s="117"/>
      <c r="Z34" s="146" t="str">
        <f>IF(I34="","",VLOOKUP(O34,SaKo!F:J,5,FALSE))</f>
        <v/>
      </c>
      <c r="AA34" s="115" t="str">
        <f>IFERROR(IF(H34="","",IF(RIGHT(G34,1)="U",CONCATENATE(VLOOKUP(H34,SaKo!E:J,6,FALSE),9,CONCATENATE(MID(G34,1,LEN(G34)-1)))*1,CONCATENATE(VLOOKUP(H34,SaKo!E:J,6,FALSE),8,G34)*1)),"")</f>
        <v/>
      </c>
      <c r="AB34" s="114" t="str">
        <f t="shared" si="3"/>
        <v/>
      </c>
      <c r="AC34" s="116" t="str">
        <f t="shared" si="4"/>
        <v/>
      </c>
      <c r="AD34" s="120"/>
      <c r="AE34" s="79"/>
      <c r="AF34" s="79"/>
    </row>
    <row r="35" spans="1:32" ht="23.1" customHeight="1" x14ac:dyDescent="0.2">
      <c r="A35" s="120" t="str">
        <f t="shared" si="5"/>
        <v/>
      </c>
      <c r="B35" s="79" t="str">
        <f t="shared" si="8"/>
        <v/>
      </c>
      <c r="C35" s="48">
        <v>16</v>
      </c>
      <c r="D35" s="49"/>
      <c r="E35" s="195"/>
      <c r="F35" s="195"/>
      <c r="G35" s="50"/>
      <c r="H35" s="46" t="str">
        <f>IF($S35="","",IF($S35=1,VLOOKUP($T35,SaKoBereichAufwand,2,FALSE),VLOOKUP($Z35,SaKo!D:E,2,FALSE)))</f>
        <v/>
      </c>
      <c r="I35" s="159"/>
      <c r="J35" s="75"/>
      <c r="K35" s="51" t="str">
        <f t="shared" si="7"/>
        <v/>
      </c>
      <c r="L35" s="40"/>
      <c r="M35" s="158"/>
      <c r="N35" s="40"/>
      <c r="O35" s="194"/>
      <c r="P35" s="194"/>
      <c r="Q35" s="194"/>
      <c r="R35" s="40"/>
      <c r="S35" s="114" t="str">
        <f>IF(M35="","",VLOOKUP(M35,SaKo!A$2:C$3,3,FALSE))</f>
        <v/>
      </c>
      <c r="T35" s="146" t="str">
        <f>IF(J35="","",VLOOKUP(O35,SaKo!L:N,3,FALSE))</f>
        <v/>
      </c>
      <c r="U35" s="115" t="str">
        <f>IFERROR(IF(H35="","",IF(RIGHT(G35,1)="U",CONCATENATE(VLOOKUP(H35,SaKo!K:N,4,FALSE),9,CONCATENATE(MID(G35,1,LEN(G35)-1)))*1,CONCATENATE(VLOOKUP(H35,SaKo!K:N,4,FALSE),8,G35)*1)),"")</f>
        <v/>
      </c>
      <c r="V35" s="114" t="str">
        <f t="shared" si="6"/>
        <v/>
      </c>
      <c r="W35" s="116" t="str">
        <f t="shared" si="1"/>
        <v/>
      </c>
      <c r="X35" s="114" t="str">
        <f t="shared" si="2"/>
        <v/>
      </c>
      <c r="Y35" s="117"/>
      <c r="Z35" s="146" t="str">
        <f>IF(I35="","",VLOOKUP(O35,SaKo!F:J,5,FALSE))</f>
        <v/>
      </c>
      <c r="AA35" s="115" t="str">
        <f>IFERROR(IF(H35="","",IF(RIGHT(G35,1)="U",CONCATENATE(VLOOKUP(H35,SaKo!E:J,6,FALSE),9,CONCATENATE(MID(G35,1,LEN(G35)-1)))*1,CONCATENATE(VLOOKUP(H35,SaKo!E:J,6,FALSE),8,G35)*1)),"")</f>
        <v/>
      </c>
      <c r="AB35" s="114" t="str">
        <f t="shared" si="3"/>
        <v/>
      </c>
      <c r="AC35" s="116" t="str">
        <f t="shared" si="4"/>
        <v/>
      </c>
      <c r="AD35" s="120"/>
      <c r="AE35" s="79"/>
      <c r="AF35" s="79"/>
    </row>
    <row r="36" spans="1:32" ht="23.1" customHeight="1" x14ac:dyDescent="0.2">
      <c r="A36" s="120" t="str">
        <f t="shared" si="5"/>
        <v/>
      </c>
      <c r="B36" s="79" t="str">
        <f t="shared" si="8"/>
        <v/>
      </c>
      <c r="C36" s="48">
        <v>17</v>
      </c>
      <c r="D36" s="49"/>
      <c r="E36" s="195"/>
      <c r="F36" s="195"/>
      <c r="G36" s="50"/>
      <c r="H36" s="46" t="str">
        <f>IF($S36="","",IF($S36=1,VLOOKUP($T36,SaKoBereichAufwand,2,FALSE),VLOOKUP($Z36,SaKo!D:E,2,FALSE)))</f>
        <v/>
      </c>
      <c r="I36" s="159"/>
      <c r="J36" s="75"/>
      <c r="K36" s="51" t="str">
        <f t="shared" si="7"/>
        <v/>
      </c>
      <c r="L36" s="40"/>
      <c r="M36" s="158"/>
      <c r="N36" s="40"/>
      <c r="O36" s="194"/>
      <c r="P36" s="194"/>
      <c r="Q36" s="194"/>
      <c r="R36" s="40"/>
      <c r="S36" s="114" t="str">
        <f>IF(M36="","",VLOOKUP(M36,SaKo!A$2:C$3,3,FALSE))</f>
        <v/>
      </c>
      <c r="T36" s="146" t="str">
        <f>IF(J36="","",VLOOKUP(O36,SaKo!L:N,3,FALSE))</f>
        <v/>
      </c>
      <c r="U36" s="115" t="str">
        <f>IFERROR(IF(H36="","",IF(RIGHT(G36,1)="U",CONCATENATE(VLOOKUP(H36,SaKo!K:N,4,FALSE),9,CONCATENATE(MID(G36,1,LEN(G36)-1)))*1,CONCATENATE(VLOOKUP(H36,SaKo!K:N,4,FALSE),8,G36)*1)),"")</f>
        <v/>
      </c>
      <c r="V36" s="114" t="str">
        <f t="shared" si="6"/>
        <v/>
      </c>
      <c r="W36" s="116" t="str">
        <f t="shared" si="1"/>
        <v/>
      </c>
      <c r="X36" s="114" t="str">
        <f t="shared" si="2"/>
        <v/>
      </c>
      <c r="Y36" s="117"/>
      <c r="Z36" s="146" t="str">
        <f>IF(I36="","",VLOOKUP(O36,SaKo!F:J,5,FALSE))</f>
        <v/>
      </c>
      <c r="AA36" s="115" t="str">
        <f>IFERROR(IF(H36="","",IF(RIGHT(G36,1)="U",CONCATENATE(VLOOKUP(H36,SaKo!E:J,6,FALSE),9,CONCATENATE(MID(G36,1,LEN(G36)-1)))*1,CONCATENATE(VLOOKUP(H36,SaKo!E:J,6,FALSE),8,G36)*1)),"")</f>
        <v/>
      </c>
      <c r="AB36" s="114" t="str">
        <f t="shared" si="3"/>
        <v/>
      </c>
      <c r="AC36" s="116" t="str">
        <f t="shared" si="4"/>
        <v/>
      </c>
      <c r="AD36" s="120"/>
      <c r="AE36" s="79"/>
      <c r="AF36" s="79"/>
    </row>
    <row r="37" spans="1:32" ht="23.1" customHeight="1" x14ac:dyDescent="0.2">
      <c r="A37" s="120" t="str">
        <f t="shared" si="5"/>
        <v/>
      </c>
      <c r="B37" s="79" t="str">
        <f t="shared" si="8"/>
        <v/>
      </c>
      <c r="C37" s="48">
        <v>18</v>
      </c>
      <c r="D37" s="49"/>
      <c r="E37" s="195"/>
      <c r="F37" s="195"/>
      <c r="G37" s="50"/>
      <c r="H37" s="46" t="str">
        <f>IF($S37="","",IF($S37=1,VLOOKUP($T37,SaKoBereichAufwand,2,FALSE),VLOOKUP($Z37,SaKo!D:E,2,FALSE)))</f>
        <v/>
      </c>
      <c r="I37" s="159"/>
      <c r="J37" s="75"/>
      <c r="K37" s="51" t="str">
        <f t="shared" si="7"/>
        <v/>
      </c>
      <c r="L37" s="40"/>
      <c r="M37" s="158"/>
      <c r="N37" s="40"/>
      <c r="O37" s="194"/>
      <c r="P37" s="194"/>
      <c r="Q37" s="194"/>
      <c r="R37" s="40"/>
      <c r="S37" s="114" t="str">
        <f>IF(M37="","",VLOOKUP(M37,SaKo!A$2:C$3,3,FALSE))</f>
        <v/>
      </c>
      <c r="T37" s="146" t="str">
        <f>IF(J37="","",VLOOKUP(O37,SaKo!L:N,3,FALSE))</f>
        <v/>
      </c>
      <c r="U37" s="115" t="str">
        <f>IFERROR(IF(H37="","",IF(RIGHT(G37,1)="U",CONCATENATE(VLOOKUP(H37,SaKo!K:N,4,FALSE),9,CONCATENATE(MID(G37,1,LEN(G37)-1)))*1,CONCATENATE(VLOOKUP(H37,SaKo!K:N,4,FALSE),8,G37)*1)),"")</f>
        <v/>
      </c>
      <c r="V37" s="114" t="str">
        <f t="shared" si="6"/>
        <v/>
      </c>
      <c r="W37" s="116" t="str">
        <f t="shared" si="1"/>
        <v/>
      </c>
      <c r="X37" s="114" t="str">
        <f t="shared" si="2"/>
        <v/>
      </c>
      <c r="Y37" s="117"/>
      <c r="Z37" s="146" t="str">
        <f>IF(I37="","",VLOOKUP(O37,SaKo!F:J,5,FALSE))</f>
        <v/>
      </c>
      <c r="AA37" s="115" t="str">
        <f>IFERROR(IF(H37="","",IF(RIGHT(G37,1)="U",CONCATENATE(VLOOKUP(H37,SaKo!E:J,6,FALSE),9,CONCATENATE(MID(G37,1,LEN(G37)-1)))*1,CONCATENATE(VLOOKUP(H37,SaKo!E:J,6,FALSE),8,G37)*1)),"")</f>
        <v/>
      </c>
      <c r="AB37" s="114" t="str">
        <f t="shared" si="3"/>
        <v/>
      </c>
      <c r="AC37" s="116" t="str">
        <f t="shared" si="4"/>
        <v/>
      </c>
      <c r="AD37" s="120"/>
      <c r="AE37" s="79"/>
      <c r="AF37" s="79"/>
    </row>
    <row r="38" spans="1:32" ht="23.1" customHeight="1" x14ac:dyDescent="0.2">
      <c r="A38" s="120" t="str">
        <f t="shared" si="5"/>
        <v/>
      </c>
      <c r="B38" s="79" t="str">
        <f t="shared" si="8"/>
        <v/>
      </c>
      <c r="C38" s="48">
        <v>19</v>
      </c>
      <c r="D38" s="49"/>
      <c r="E38" s="195"/>
      <c r="F38" s="195"/>
      <c r="G38" s="50"/>
      <c r="H38" s="46" t="str">
        <f>IF($S38="","",IF($S38=1,VLOOKUP($T38,SaKoBereichAufwand,2,FALSE),VLOOKUP($Z38,SaKo!D:E,2,FALSE)))</f>
        <v/>
      </c>
      <c r="I38" s="159"/>
      <c r="J38" s="75"/>
      <c r="K38" s="51" t="str">
        <f t="shared" si="7"/>
        <v/>
      </c>
      <c r="L38" s="40"/>
      <c r="M38" s="158"/>
      <c r="N38" s="40"/>
      <c r="O38" s="194"/>
      <c r="P38" s="194"/>
      <c r="Q38" s="194"/>
      <c r="R38" s="40"/>
      <c r="S38" s="114" t="str">
        <f>IF(M38="","",VLOOKUP(M38,SaKo!A$2:C$3,3,FALSE))</f>
        <v/>
      </c>
      <c r="T38" s="146" t="str">
        <f>IF(J38="","",VLOOKUP(O38,SaKo!L:N,3,FALSE))</f>
        <v/>
      </c>
      <c r="U38" s="115" t="str">
        <f>IFERROR(IF(H38="","",IF(RIGHT(G38,1)="U",CONCATENATE(VLOOKUP(H38,SaKo!K:N,4,FALSE),9,CONCATENATE(MID(G38,1,LEN(G38)-1)))*1,CONCATENATE(VLOOKUP(H38,SaKo!K:N,4,FALSE),8,G38)*1)),"")</f>
        <v/>
      </c>
      <c r="V38" s="114" t="str">
        <f t="shared" si="6"/>
        <v/>
      </c>
      <c r="W38" s="116" t="str">
        <f t="shared" si="1"/>
        <v/>
      </c>
      <c r="X38" s="114" t="str">
        <f t="shared" si="2"/>
        <v/>
      </c>
      <c r="Y38" s="117"/>
      <c r="Z38" s="146" t="str">
        <f>IF(I38="","",VLOOKUP(O38,SaKo!F:J,5,FALSE))</f>
        <v/>
      </c>
      <c r="AA38" s="115" t="str">
        <f>IFERROR(IF(H38="","",IF(RIGHT(G38,1)="U",CONCATENATE(VLOOKUP(H38,SaKo!E:J,6,FALSE),9,CONCATENATE(MID(G38,1,LEN(G38)-1)))*1,CONCATENATE(VLOOKUP(H38,SaKo!E:J,6,FALSE),8,G38)*1)),"")</f>
        <v/>
      </c>
      <c r="AB38" s="114" t="str">
        <f t="shared" si="3"/>
        <v/>
      </c>
      <c r="AC38" s="116" t="str">
        <f t="shared" si="4"/>
        <v/>
      </c>
      <c r="AD38" s="120"/>
      <c r="AE38" s="79"/>
      <c r="AF38" s="79"/>
    </row>
    <row r="39" spans="1:32" ht="23.1" customHeight="1" x14ac:dyDescent="0.2">
      <c r="A39" s="120" t="str">
        <f t="shared" si="5"/>
        <v/>
      </c>
      <c r="B39" s="79" t="str">
        <f t="shared" si="8"/>
        <v/>
      </c>
      <c r="C39" s="48">
        <v>20</v>
      </c>
      <c r="D39" s="49"/>
      <c r="E39" s="195"/>
      <c r="F39" s="195"/>
      <c r="G39" s="50"/>
      <c r="H39" s="46" t="str">
        <f>IF($S39="","",IF($S39=1,VLOOKUP($T39,SaKoBereichAufwand,2,FALSE),VLOOKUP($Z39,SaKo!D:E,2,FALSE)))</f>
        <v/>
      </c>
      <c r="I39" s="159"/>
      <c r="J39" s="75"/>
      <c r="K39" s="51" t="str">
        <f t="shared" si="7"/>
        <v/>
      </c>
      <c r="L39" s="40"/>
      <c r="M39" s="158"/>
      <c r="N39" s="40"/>
      <c r="O39" s="194"/>
      <c r="P39" s="194"/>
      <c r="Q39" s="194"/>
      <c r="R39" s="40"/>
      <c r="S39" s="114" t="str">
        <f>IF(M39="","",VLOOKUP(M39,SaKo!A$2:C$3,3,FALSE))</f>
        <v/>
      </c>
      <c r="T39" s="146" t="str">
        <f>IF(J39="","",VLOOKUP(O39,SaKo!L:N,3,FALSE))</f>
        <v/>
      </c>
      <c r="U39" s="115" t="str">
        <f>IFERROR(IF(H39="","",IF(RIGHT(G39,1)="U",CONCATENATE(VLOOKUP(H39,SaKo!K:N,4,FALSE),9,CONCATENATE(MID(G39,1,LEN(G39)-1)))*1,CONCATENATE(VLOOKUP(H39,SaKo!K:N,4,FALSE),8,G39)*1)),"")</f>
        <v/>
      </c>
      <c r="V39" s="114" t="str">
        <f t="shared" si="6"/>
        <v/>
      </c>
      <c r="W39" s="116" t="str">
        <f t="shared" si="1"/>
        <v/>
      </c>
      <c r="X39" s="114" t="str">
        <f t="shared" si="2"/>
        <v/>
      </c>
      <c r="Y39" s="117"/>
      <c r="Z39" s="146" t="str">
        <f>IF(I39="","",VLOOKUP(O39,SaKo!F:J,5,FALSE))</f>
        <v/>
      </c>
      <c r="AA39" s="115" t="str">
        <f>IFERROR(IF(H39="","",IF(RIGHT(G39,1)="U",CONCATENATE(VLOOKUP(H39,SaKo!E:J,6,FALSE),9,CONCATENATE(MID(G39,1,LEN(G39)-1)))*1,CONCATENATE(VLOOKUP(H39,SaKo!E:J,6,FALSE),8,G39)*1)),"")</f>
        <v/>
      </c>
      <c r="AB39" s="114" t="str">
        <f t="shared" si="3"/>
        <v/>
      </c>
      <c r="AC39" s="116" t="str">
        <f t="shared" si="4"/>
        <v/>
      </c>
      <c r="AD39" s="120"/>
      <c r="AE39" s="79"/>
      <c r="AF39" s="79"/>
    </row>
    <row r="40" spans="1:32" ht="23.1" customHeight="1" x14ac:dyDescent="0.2">
      <c r="A40" s="120" t="str">
        <f t="shared" si="5"/>
        <v/>
      </c>
      <c r="B40" s="79" t="str">
        <f t="shared" si="8"/>
        <v/>
      </c>
      <c r="C40" s="48">
        <v>21</v>
      </c>
      <c r="D40" s="49"/>
      <c r="E40" s="195"/>
      <c r="F40" s="195"/>
      <c r="G40" s="50"/>
      <c r="H40" s="46" t="str">
        <f>IF($S40="","",IF($S40=1,VLOOKUP($T40,SaKoBereichAufwand,2,FALSE),VLOOKUP($Z40,SaKo!D:E,2,FALSE)))</f>
        <v/>
      </c>
      <c r="I40" s="159"/>
      <c r="J40" s="75"/>
      <c r="K40" s="51" t="str">
        <f t="shared" si="7"/>
        <v/>
      </c>
      <c r="L40" s="40"/>
      <c r="M40" s="158"/>
      <c r="N40" s="40"/>
      <c r="O40" s="194"/>
      <c r="P40" s="194"/>
      <c r="Q40" s="194"/>
      <c r="R40" s="40"/>
      <c r="S40" s="114" t="str">
        <f>IF(M40="","",VLOOKUP(M40,SaKo!A$2:C$3,3,FALSE))</f>
        <v/>
      </c>
      <c r="T40" s="146" t="str">
        <f>IF(J40="","",VLOOKUP(O40,SaKo!L:N,3,FALSE))</f>
        <v/>
      </c>
      <c r="U40" s="115" t="str">
        <f>IFERROR(IF(H40="","",IF(RIGHT(G40,1)="U",CONCATENATE(VLOOKUP(H40,SaKo!K:N,4,FALSE),9,CONCATENATE(MID(G40,1,LEN(G40)-1)))*1,CONCATENATE(VLOOKUP(H40,SaKo!K:N,4,FALSE),8,G40)*1)),"")</f>
        <v/>
      </c>
      <c r="V40" s="114" t="str">
        <f t="shared" si="6"/>
        <v/>
      </c>
      <c r="W40" s="116" t="str">
        <f t="shared" si="1"/>
        <v/>
      </c>
      <c r="X40" s="114" t="str">
        <f t="shared" si="2"/>
        <v/>
      </c>
      <c r="Y40" s="117"/>
      <c r="Z40" s="146" t="str">
        <f>IF(I40="","",VLOOKUP(O40,SaKo!F:J,5,FALSE))</f>
        <v/>
      </c>
      <c r="AA40" s="115" t="str">
        <f>IFERROR(IF(H40="","",IF(RIGHT(G40,1)="U",CONCATENATE(VLOOKUP(H40,SaKo!E:J,6,FALSE),9,CONCATENATE(MID(G40,1,LEN(G40)-1)))*1,CONCATENATE(VLOOKUP(H40,SaKo!E:J,6,FALSE),8,G40)*1)),"")</f>
        <v/>
      </c>
      <c r="AB40" s="114" t="str">
        <f t="shared" si="3"/>
        <v/>
      </c>
      <c r="AC40" s="116" t="str">
        <f t="shared" si="4"/>
        <v/>
      </c>
      <c r="AD40" s="120"/>
      <c r="AE40" s="79"/>
      <c r="AF40" s="79"/>
    </row>
    <row r="41" spans="1:32" ht="23.1" customHeight="1" x14ac:dyDescent="0.2">
      <c r="A41" s="120" t="str">
        <f t="shared" si="5"/>
        <v/>
      </c>
      <c r="B41" s="79" t="str">
        <f t="shared" si="8"/>
        <v/>
      </c>
      <c r="C41" s="48">
        <v>22</v>
      </c>
      <c r="D41" s="49"/>
      <c r="E41" s="195"/>
      <c r="F41" s="195"/>
      <c r="G41" s="50"/>
      <c r="H41" s="46" t="str">
        <f>IF($S41="","",IF($S41=1,VLOOKUP($T41,SaKoBereichAufwand,2,FALSE),VLOOKUP($Z41,SaKo!D:E,2,FALSE)))</f>
        <v/>
      </c>
      <c r="I41" s="159"/>
      <c r="J41" s="75"/>
      <c r="K41" s="51" t="str">
        <f t="shared" si="7"/>
        <v/>
      </c>
      <c r="L41" s="40"/>
      <c r="M41" s="158"/>
      <c r="N41" s="40"/>
      <c r="O41" s="194"/>
      <c r="P41" s="194"/>
      <c r="Q41" s="194"/>
      <c r="R41" s="40"/>
      <c r="S41" s="114" t="str">
        <f>IF(M41="","",VLOOKUP(M41,SaKo!A$2:C$3,3,FALSE))</f>
        <v/>
      </c>
      <c r="T41" s="146" t="str">
        <f>IF(J41="","",VLOOKUP(O41,SaKo!L:N,3,FALSE))</f>
        <v/>
      </c>
      <c r="U41" s="115" t="str">
        <f>IFERROR(IF(H41="","",IF(RIGHT(G41,1)="U",CONCATENATE(VLOOKUP(H41,SaKo!K:N,4,FALSE),9,CONCATENATE(MID(G41,1,LEN(G41)-1)))*1,CONCATENATE(VLOOKUP(H41,SaKo!K:N,4,FALSE),8,G41)*1)),"")</f>
        <v/>
      </c>
      <c r="V41" s="114" t="str">
        <f t="shared" si="6"/>
        <v/>
      </c>
      <c r="W41" s="116" t="str">
        <f t="shared" si="1"/>
        <v/>
      </c>
      <c r="X41" s="114" t="str">
        <f t="shared" si="2"/>
        <v/>
      </c>
      <c r="Y41" s="117"/>
      <c r="Z41" s="146" t="str">
        <f>IF(I41="","",VLOOKUP(O41,SaKo!F:J,5,FALSE))</f>
        <v/>
      </c>
      <c r="AA41" s="115" t="str">
        <f>IFERROR(IF(H41="","",IF(RIGHT(G41,1)="U",CONCATENATE(VLOOKUP(H41,SaKo!E:J,6,FALSE),9,CONCATENATE(MID(G41,1,LEN(G41)-1)))*1,CONCATENATE(VLOOKUP(H41,SaKo!E:J,6,FALSE),8,G41)*1)),"")</f>
        <v/>
      </c>
      <c r="AB41" s="114" t="str">
        <f t="shared" si="3"/>
        <v/>
      </c>
      <c r="AC41" s="116" t="str">
        <f t="shared" si="4"/>
        <v/>
      </c>
      <c r="AD41" s="120"/>
      <c r="AE41" s="79"/>
      <c r="AF41" s="79"/>
    </row>
    <row r="42" spans="1:32" ht="23.1" customHeight="1" x14ac:dyDescent="0.2">
      <c r="A42" s="120" t="str">
        <f t="shared" si="5"/>
        <v/>
      </c>
      <c r="B42" s="79" t="str">
        <f t="shared" si="8"/>
        <v/>
      </c>
      <c r="C42" s="48">
        <v>23</v>
      </c>
      <c r="D42" s="49"/>
      <c r="E42" s="195"/>
      <c r="F42" s="195"/>
      <c r="G42" s="50"/>
      <c r="H42" s="46" t="str">
        <f>IF($S42="","",IF($S42=1,VLOOKUP($T42,SaKoBereichAufwand,2,FALSE),VLOOKUP($Z42,SaKo!D:E,2,FALSE)))</f>
        <v/>
      </c>
      <c r="I42" s="159"/>
      <c r="J42" s="75"/>
      <c r="K42" s="51" t="str">
        <f t="shared" si="7"/>
        <v/>
      </c>
      <c r="L42" s="40"/>
      <c r="M42" s="158"/>
      <c r="N42" s="40"/>
      <c r="O42" s="194"/>
      <c r="P42" s="194"/>
      <c r="Q42" s="194"/>
      <c r="R42" s="40"/>
      <c r="S42" s="114" t="str">
        <f>IF(M42="","",VLOOKUP(M42,SaKo!A$2:C$3,3,FALSE))</f>
        <v/>
      </c>
      <c r="T42" s="146" t="str">
        <f>IF(J42="","",VLOOKUP(O42,SaKo!L:N,3,FALSE))</f>
        <v/>
      </c>
      <c r="U42" s="115" t="str">
        <f>IFERROR(IF(H42="","",IF(RIGHT(G42,1)="U",CONCATENATE(VLOOKUP(H42,SaKo!K:N,4,FALSE),9,CONCATENATE(MID(G42,1,LEN(G42)-1)))*1,CONCATENATE(VLOOKUP(H42,SaKo!K:N,4,FALSE),8,G42)*1)),"")</f>
        <v/>
      </c>
      <c r="V42" s="114" t="str">
        <f t="shared" si="6"/>
        <v/>
      </c>
      <c r="W42" s="116" t="str">
        <f t="shared" si="1"/>
        <v/>
      </c>
      <c r="X42" s="114" t="str">
        <f t="shared" si="2"/>
        <v/>
      </c>
      <c r="Y42" s="117"/>
      <c r="Z42" s="146" t="str">
        <f>IF(I42="","",VLOOKUP(O42,SaKo!F:J,5,FALSE))</f>
        <v/>
      </c>
      <c r="AA42" s="115" t="str">
        <f>IFERROR(IF(H42="","",IF(RIGHT(G42,1)="U",CONCATENATE(VLOOKUP(H42,SaKo!E:J,6,FALSE),9,CONCATENATE(MID(G42,1,LEN(G42)-1)))*1,CONCATENATE(VLOOKUP(H42,SaKo!E:J,6,FALSE),8,G42)*1)),"")</f>
        <v/>
      </c>
      <c r="AB42" s="114" t="str">
        <f t="shared" si="3"/>
        <v/>
      </c>
      <c r="AC42" s="116" t="str">
        <f t="shared" si="4"/>
        <v/>
      </c>
      <c r="AD42" s="120"/>
      <c r="AE42" s="79"/>
      <c r="AF42" s="79"/>
    </row>
    <row r="43" spans="1:32" ht="23.1" customHeight="1" x14ac:dyDescent="0.2">
      <c r="A43" s="120" t="str">
        <f t="shared" si="5"/>
        <v/>
      </c>
      <c r="B43" s="79"/>
      <c r="C43" s="48">
        <v>24</v>
      </c>
      <c r="D43" s="49"/>
      <c r="E43" s="195"/>
      <c r="F43" s="195"/>
      <c r="G43" s="50"/>
      <c r="H43" s="46" t="str">
        <f>IF($S43="","",IF($S43=1,VLOOKUP($T43,SaKoBereichAufwand,2,FALSE),VLOOKUP($Z43,SaKo!D:E,2,FALSE)))</f>
        <v/>
      </c>
      <c r="I43" s="159"/>
      <c r="J43" s="75"/>
      <c r="K43" s="51" t="str">
        <f t="shared" si="7"/>
        <v/>
      </c>
      <c r="L43" s="40"/>
      <c r="M43" s="158"/>
      <c r="N43" s="40"/>
      <c r="O43" s="194"/>
      <c r="P43" s="194"/>
      <c r="Q43" s="194"/>
      <c r="R43" s="40"/>
      <c r="S43" s="114" t="str">
        <f>IF(M43="","",VLOOKUP(M43,SaKo!A$2:C$3,3,FALSE))</f>
        <v/>
      </c>
      <c r="T43" s="146" t="str">
        <f>IF(J43="","",VLOOKUP(O43,SaKo!L:N,3,FALSE))</f>
        <v/>
      </c>
      <c r="U43" s="115" t="str">
        <f>IFERROR(IF(H43="","",IF(RIGHT(G43,1)="U",CONCATENATE(VLOOKUP(H43,SaKo!K:N,4,FALSE),9,CONCATENATE(MID(G43,1,LEN(G43)-1)))*1,CONCATENATE(VLOOKUP(H43,SaKo!K:N,4,FALSE),8,G43)*1)),"")</f>
        <v/>
      </c>
      <c r="V43" s="114" t="str">
        <f t="shared" si="6"/>
        <v/>
      </c>
      <c r="W43" s="116" t="str">
        <f t="shared" si="1"/>
        <v/>
      </c>
      <c r="X43" s="114" t="str">
        <f t="shared" si="2"/>
        <v/>
      </c>
      <c r="Y43" s="117"/>
      <c r="Z43" s="146" t="str">
        <f>IF(I43="","",VLOOKUP(O43,SaKo!F:J,5,FALSE))</f>
        <v/>
      </c>
      <c r="AA43" s="115" t="str">
        <f>IFERROR(IF(H43="","",IF(RIGHT(G43,1)="U",CONCATENATE(VLOOKUP(H43,SaKo!E:J,6,FALSE),9,CONCATENATE(MID(G43,1,LEN(G43)-1)))*1,CONCATENATE(VLOOKUP(H43,SaKo!E:J,6,FALSE),8,G43)*1)),"")</f>
        <v/>
      </c>
      <c r="AB43" s="114" t="str">
        <f t="shared" si="3"/>
        <v/>
      </c>
      <c r="AC43" s="116" t="str">
        <f t="shared" si="4"/>
        <v/>
      </c>
      <c r="AD43" s="120"/>
      <c r="AE43" s="79"/>
      <c r="AF43" s="79"/>
    </row>
    <row r="44" spans="1:32" ht="23.1" customHeight="1" x14ac:dyDescent="0.2">
      <c r="A44" s="120" t="str">
        <f t="shared" si="5"/>
        <v/>
      </c>
      <c r="B44" s="79"/>
      <c r="C44" s="48">
        <v>25</v>
      </c>
      <c r="D44" s="49"/>
      <c r="E44" s="195"/>
      <c r="F44" s="195"/>
      <c r="G44" s="50"/>
      <c r="H44" s="46" t="str">
        <f>IF($S44="","",IF($S44=1,VLOOKUP($T44,SaKoBereichAufwand,2,FALSE),VLOOKUP($Z44,SaKo!D:E,2,FALSE)))</f>
        <v/>
      </c>
      <c r="I44" s="159"/>
      <c r="J44" s="75"/>
      <c r="K44" s="51" t="str">
        <f t="shared" si="7"/>
        <v/>
      </c>
      <c r="L44" s="40"/>
      <c r="M44" s="158"/>
      <c r="N44" s="40"/>
      <c r="O44" s="194"/>
      <c r="P44" s="194"/>
      <c r="Q44" s="194"/>
      <c r="R44" s="40"/>
      <c r="S44" s="114" t="str">
        <f>IF(M44="","",VLOOKUP(M44,SaKo!A$2:C$3,3,FALSE))</f>
        <v/>
      </c>
      <c r="T44" s="146" t="str">
        <f>IF(J44="","",VLOOKUP(O44,SaKo!L:N,3,FALSE))</f>
        <v/>
      </c>
      <c r="U44" s="115" t="str">
        <f>IFERROR(IF(H44="","",IF(RIGHT(G44,1)="U",CONCATENATE(VLOOKUP(H44,SaKo!K:N,4,FALSE),9,CONCATENATE(MID(G44,1,LEN(G44)-1)))*1,CONCATENATE(VLOOKUP(H44,SaKo!K:N,4,FALSE),8,G44)*1)),"")</f>
        <v/>
      </c>
      <c r="V44" s="114" t="str">
        <f t="shared" si="6"/>
        <v/>
      </c>
      <c r="W44" s="116" t="str">
        <f t="shared" si="1"/>
        <v/>
      </c>
      <c r="X44" s="114" t="str">
        <f t="shared" si="2"/>
        <v/>
      </c>
      <c r="Y44" s="117"/>
      <c r="Z44" s="146" t="str">
        <f>IF(I44="","",VLOOKUP(O44,SaKo!F:J,5,FALSE))</f>
        <v/>
      </c>
      <c r="AA44" s="115" t="str">
        <f>IFERROR(IF(H44="","",IF(RIGHT(G44,1)="U",CONCATENATE(VLOOKUP(H44,SaKo!E:J,6,FALSE),9,CONCATENATE(MID(G44,1,LEN(G44)-1)))*1,CONCATENATE(VLOOKUP(H44,SaKo!E:J,6,FALSE),8,G44)*1)),"")</f>
        <v/>
      </c>
      <c r="AB44" s="114" t="str">
        <f t="shared" si="3"/>
        <v/>
      </c>
      <c r="AC44" s="116" t="str">
        <f t="shared" si="4"/>
        <v/>
      </c>
      <c r="AD44" s="120"/>
      <c r="AE44" s="79"/>
      <c r="AF44" s="79"/>
    </row>
    <row r="45" spans="1:32" ht="23.1" customHeight="1" x14ac:dyDescent="0.2">
      <c r="A45" s="120" t="str">
        <f t="shared" si="5"/>
        <v/>
      </c>
      <c r="B45" s="79"/>
      <c r="C45" s="48">
        <v>26</v>
      </c>
      <c r="D45" s="49"/>
      <c r="E45" s="195"/>
      <c r="F45" s="195"/>
      <c r="G45" s="50"/>
      <c r="H45" s="46" t="str">
        <f>IF($S45="","",IF($S45=1,VLOOKUP($T45,SaKoBereichAufwand,2,FALSE),VLOOKUP($Z45,SaKo!D:E,2,FALSE)))</f>
        <v/>
      </c>
      <c r="I45" s="159"/>
      <c r="J45" s="75"/>
      <c r="K45" s="51" t="str">
        <f t="shared" si="7"/>
        <v/>
      </c>
      <c r="L45" s="40"/>
      <c r="M45" s="158"/>
      <c r="N45" s="40"/>
      <c r="O45" s="194"/>
      <c r="P45" s="194"/>
      <c r="Q45" s="194"/>
      <c r="R45" s="40"/>
      <c r="S45" s="114" t="str">
        <f>IF(M45="","",VLOOKUP(M45,SaKo!A$2:C$3,3,FALSE))</f>
        <v/>
      </c>
      <c r="T45" s="146" t="str">
        <f>IF(J45="","",VLOOKUP(O45,SaKo!L:N,3,FALSE))</f>
        <v/>
      </c>
      <c r="U45" s="115" t="str">
        <f>IFERROR(IF(H45="","",IF(RIGHT(G45,1)="U",CONCATENATE(VLOOKUP(H45,SaKo!K:N,4,FALSE),9,CONCATENATE(MID(G45,1,LEN(G45)-1)))*1,CONCATENATE(VLOOKUP(H45,SaKo!K:N,4,FALSE),8,G45)*1)),"")</f>
        <v/>
      </c>
      <c r="V45" s="114" t="str">
        <f t="shared" si="6"/>
        <v/>
      </c>
      <c r="W45" s="116" t="str">
        <f t="shared" si="1"/>
        <v/>
      </c>
      <c r="X45" s="114" t="str">
        <f t="shared" si="2"/>
        <v/>
      </c>
      <c r="Y45" s="117"/>
      <c r="Z45" s="146" t="str">
        <f>IF(I45="","",VLOOKUP(O45,SaKo!F:J,5,FALSE))</f>
        <v/>
      </c>
      <c r="AA45" s="115" t="str">
        <f>IFERROR(IF(H45="","",IF(RIGHT(G45,1)="U",CONCATENATE(VLOOKUP(H45,SaKo!E:J,6,FALSE),9,CONCATENATE(MID(G45,1,LEN(G45)-1)))*1,CONCATENATE(VLOOKUP(H45,SaKo!E:J,6,FALSE),8,G45)*1)),"")</f>
        <v/>
      </c>
      <c r="AB45" s="114" t="str">
        <f t="shared" si="3"/>
        <v/>
      </c>
      <c r="AC45" s="116" t="str">
        <f t="shared" si="4"/>
        <v/>
      </c>
      <c r="AD45" s="120"/>
      <c r="AE45" s="79"/>
      <c r="AF45" s="79"/>
    </row>
    <row r="46" spans="1:32" ht="23.1" customHeight="1" x14ac:dyDescent="0.2">
      <c r="A46" s="120" t="str">
        <f t="shared" si="5"/>
        <v/>
      </c>
      <c r="B46" s="79"/>
      <c r="C46" s="48">
        <v>27</v>
      </c>
      <c r="D46" s="49"/>
      <c r="E46" s="195"/>
      <c r="F46" s="195"/>
      <c r="G46" s="50"/>
      <c r="H46" s="46" t="str">
        <f>IF($S46="","",IF($S46=1,VLOOKUP($T46,SaKoBereichAufwand,2,FALSE),VLOOKUP($Z46,SaKo!D:E,2,FALSE)))</f>
        <v/>
      </c>
      <c r="I46" s="159"/>
      <c r="J46" s="75"/>
      <c r="K46" s="51" t="str">
        <f t="shared" si="7"/>
        <v/>
      </c>
      <c r="L46" s="40"/>
      <c r="M46" s="158"/>
      <c r="N46" s="40"/>
      <c r="O46" s="194"/>
      <c r="P46" s="194"/>
      <c r="Q46" s="194"/>
      <c r="R46" s="40"/>
      <c r="S46" s="114" t="str">
        <f>IF(M46="","",VLOOKUP(M46,SaKo!A$2:C$3,3,FALSE))</f>
        <v/>
      </c>
      <c r="T46" s="146" t="str">
        <f>IF(J46="","",VLOOKUP(O46,SaKo!L:N,3,FALSE))</f>
        <v/>
      </c>
      <c r="U46" s="115" t="str">
        <f>IFERROR(IF(H46="","",IF(RIGHT(G46,1)="U",CONCATENATE(VLOOKUP(H46,SaKo!K:N,4,FALSE),9,CONCATENATE(MID(G46,1,LEN(G46)-1)))*1,CONCATENATE(VLOOKUP(H46,SaKo!K:N,4,FALSE),8,G46)*1)),"")</f>
        <v/>
      </c>
      <c r="V46" s="114" t="str">
        <f t="shared" si="6"/>
        <v/>
      </c>
      <c r="W46" s="116" t="str">
        <f t="shared" si="1"/>
        <v/>
      </c>
      <c r="X46" s="114" t="str">
        <f t="shared" si="2"/>
        <v/>
      </c>
      <c r="Y46" s="117"/>
      <c r="Z46" s="146" t="str">
        <f>IF(I46="","",VLOOKUP(O46,SaKo!F:J,5,FALSE))</f>
        <v/>
      </c>
      <c r="AA46" s="115" t="str">
        <f>IFERROR(IF(H46="","",IF(RIGHT(G46,1)="U",CONCATENATE(VLOOKUP(H46,SaKo!E:J,6,FALSE),9,CONCATENATE(MID(G46,1,LEN(G46)-1)))*1,CONCATENATE(VLOOKUP(H46,SaKo!E:J,6,FALSE),8,G46)*1)),"")</f>
        <v/>
      </c>
      <c r="AB46" s="114" t="str">
        <f t="shared" si="3"/>
        <v/>
      </c>
      <c r="AC46" s="116" t="str">
        <f t="shared" si="4"/>
        <v/>
      </c>
      <c r="AD46" s="120"/>
      <c r="AE46" s="79"/>
      <c r="AF46" s="79"/>
    </row>
    <row r="47" spans="1:32" ht="23.1" customHeight="1" x14ac:dyDescent="0.2">
      <c r="A47" s="120" t="str">
        <f t="shared" si="5"/>
        <v/>
      </c>
      <c r="B47" s="79"/>
      <c r="C47" s="48">
        <v>28</v>
      </c>
      <c r="D47" s="49"/>
      <c r="E47" s="195"/>
      <c r="F47" s="195"/>
      <c r="G47" s="50"/>
      <c r="H47" s="46" t="str">
        <f>IF($S47="","",IF($S47=1,VLOOKUP($T47,SaKoBereichAufwand,2,FALSE),VLOOKUP($Z47,SaKo!D:E,2,FALSE)))</f>
        <v/>
      </c>
      <c r="I47" s="159"/>
      <c r="J47" s="75"/>
      <c r="K47" s="51" t="str">
        <f t="shared" si="7"/>
        <v/>
      </c>
      <c r="L47" s="40"/>
      <c r="M47" s="158"/>
      <c r="N47" s="40"/>
      <c r="O47" s="194"/>
      <c r="P47" s="194"/>
      <c r="Q47" s="194"/>
      <c r="R47" s="40"/>
      <c r="S47" s="114" t="str">
        <f>IF(M47="","",VLOOKUP(M47,SaKo!A$2:C$3,3,FALSE))</f>
        <v/>
      </c>
      <c r="T47" s="146" t="str">
        <f>IF(J47="","",VLOOKUP(O47,SaKo!L:N,3,FALSE))</f>
        <v/>
      </c>
      <c r="U47" s="115" t="str">
        <f>IFERROR(IF(H47="","",IF(RIGHT(G47,1)="U",CONCATENATE(VLOOKUP(H47,SaKo!K:N,4,FALSE),9,CONCATENATE(MID(G47,1,LEN(G47)-1)))*1,CONCATENATE(VLOOKUP(H47,SaKo!K:N,4,FALSE),8,G47)*1)),"")</f>
        <v/>
      </c>
      <c r="V47" s="114" t="str">
        <f t="shared" si="6"/>
        <v/>
      </c>
      <c r="W47" s="116" t="str">
        <f t="shared" si="1"/>
        <v/>
      </c>
      <c r="X47" s="114" t="str">
        <f t="shared" si="2"/>
        <v/>
      </c>
      <c r="Y47" s="117"/>
      <c r="Z47" s="146" t="str">
        <f>IF(I47="","",VLOOKUP(O47,SaKo!F:J,5,FALSE))</f>
        <v/>
      </c>
      <c r="AA47" s="115" t="str">
        <f>IFERROR(IF(H47="","",IF(RIGHT(G47,1)="U",CONCATENATE(VLOOKUP(H47,SaKo!E:J,6,FALSE),9,CONCATENATE(MID(G47,1,LEN(G47)-1)))*1,CONCATENATE(VLOOKUP(H47,SaKo!E:J,6,FALSE),8,G47)*1)),"")</f>
        <v/>
      </c>
      <c r="AB47" s="114" t="str">
        <f t="shared" si="3"/>
        <v/>
      </c>
      <c r="AC47" s="116" t="str">
        <f t="shared" si="4"/>
        <v/>
      </c>
      <c r="AD47" s="120"/>
      <c r="AE47" s="79"/>
      <c r="AF47" s="79"/>
    </row>
    <row r="48" spans="1:32" ht="23.1" customHeight="1" x14ac:dyDescent="0.2">
      <c r="A48" s="120" t="str">
        <f t="shared" si="5"/>
        <v/>
      </c>
      <c r="B48" s="79"/>
      <c r="C48" s="48">
        <v>29</v>
      </c>
      <c r="D48" s="49"/>
      <c r="E48" s="195"/>
      <c r="F48" s="195"/>
      <c r="G48" s="50"/>
      <c r="H48" s="46" t="str">
        <f>IF($S48="","",IF($S48=1,VLOOKUP($T48,SaKoBereichAufwand,2,FALSE),VLOOKUP($Z48,SaKo!D:E,2,FALSE)))</f>
        <v/>
      </c>
      <c r="I48" s="159"/>
      <c r="J48" s="75"/>
      <c r="K48" s="51" t="str">
        <f t="shared" si="7"/>
        <v/>
      </c>
      <c r="L48" s="40"/>
      <c r="M48" s="158"/>
      <c r="N48" s="40"/>
      <c r="O48" s="194"/>
      <c r="P48" s="194"/>
      <c r="Q48" s="194"/>
      <c r="R48" s="40"/>
      <c r="S48" s="114" t="str">
        <f>IF(M48="","",VLOOKUP(M48,SaKo!A$2:C$3,3,FALSE))</f>
        <v/>
      </c>
      <c r="T48" s="146" t="str">
        <f>IF(J48="","",VLOOKUP(O48,SaKo!L:N,3,FALSE))</f>
        <v/>
      </c>
      <c r="U48" s="115" t="str">
        <f>IFERROR(IF(H48="","",IF(RIGHT(G48,1)="U",CONCATENATE(VLOOKUP(H48,SaKo!K:N,4,FALSE),9,CONCATENATE(MID(G48,1,LEN(G48)-1)))*1,CONCATENATE(VLOOKUP(H48,SaKo!K:N,4,FALSE),8,G48)*1)),"")</f>
        <v/>
      </c>
      <c r="V48" s="114" t="str">
        <f t="shared" si="6"/>
        <v/>
      </c>
      <c r="W48" s="116" t="str">
        <f t="shared" si="1"/>
        <v/>
      </c>
      <c r="X48" s="114" t="str">
        <f t="shared" si="2"/>
        <v/>
      </c>
      <c r="Y48" s="117"/>
      <c r="Z48" s="146" t="str">
        <f>IF(I48="","",VLOOKUP(O48,SaKo!F:J,5,FALSE))</f>
        <v/>
      </c>
      <c r="AA48" s="115" t="str">
        <f>IFERROR(IF(H48="","",IF(RIGHT(G48,1)="U",CONCATENATE(VLOOKUP(H48,SaKo!E:J,6,FALSE),9,CONCATENATE(MID(G48,1,LEN(G48)-1)))*1,CONCATENATE(VLOOKUP(H48,SaKo!E:J,6,FALSE),8,G48)*1)),"")</f>
        <v/>
      </c>
      <c r="AB48" s="114" t="str">
        <f t="shared" si="3"/>
        <v/>
      </c>
      <c r="AC48" s="116" t="str">
        <f t="shared" si="4"/>
        <v/>
      </c>
      <c r="AD48" s="120"/>
      <c r="AE48" s="79"/>
      <c r="AF48" s="79"/>
    </row>
    <row r="49" spans="1:32" ht="23.1" customHeight="1" x14ac:dyDescent="0.2">
      <c r="A49" s="120" t="str">
        <f t="shared" si="5"/>
        <v/>
      </c>
      <c r="B49" s="79"/>
      <c r="C49" s="48">
        <v>30</v>
      </c>
      <c r="D49" s="49"/>
      <c r="E49" s="195"/>
      <c r="F49" s="195"/>
      <c r="G49" s="50"/>
      <c r="H49" s="46" t="str">
        <f>IF($S49="","",IF($S49=1,VLOOKUP($T49,SaKoBereichAufwand,2,FALSE),VLOOKUP($Z49,SaKo!D:E,2,FALSE)))</f>
        <v/>
      </c>
      <c r="I49" s="159"/>
      <c r="J49" s="75"/>
      <c r="K49" s="51" t="str">
        <f t="shared" si="7"/>
        <v/>
      </c>
      <c r="L49" s="40"/>
      <c r="M49" s="158"/>
      <c r="N49" s="40"/>
      <c r="O49" s="194"/>
      <c r="P49" s="194"/>
      <c r="Q49" s="194"/>
      <c r="R49" s="40"/>
      <c r="S49" s="114" t="str">
        <f>IF(M49="","",VLOOKUP(M49,SaKo!A$2:C$3,3,FALSE))</f>
        <v/>
      </c>
      <c r="T49" s="146" t="str">
        <f>IF(J49="","",VLOOKUP(O49,SaKo!L:N,3,FALSE))</f>
        <v/>
      </c>
      <c r="U49" s="115" t="str">
        <f>IFERROR(IF(H49="","",IF(RIGHT(G49,1)="U",CONCATENATE(VLOOKUP(H49,SaKo!K:N,4,FALSE),9,CONCATENATE(MID(G49,1,LEN(G49)-1)))*1,CONCATENATE(VLOOKUP(H49,SaKo!K:N,4,FALSE),8,G49)*1)),"")</f>
        <v/>
      </c>
      <c r="V49" s="114" t="str">
        <f t="shared" si="6"/>
        <v/>
      </c>
      <c r="W49" s="116" t="str">
        <f t="shared" si="1"/>
        <v/>
      </c>
      <c r="X49" s="114" t="str">
        <f t="shared" si="2"/>
        <v/>
      </c>
      <c r="Y49" s="117"/>
      <c r="Z49" s="146" t="str">
        <f>IF(I49="","",VLOOKUP(O49,SaKo!F:J,5,FALSE))</f>
        <v/>
      </c>
      <c r="AA49" s="115" t="str">
        <f>IFERROR(IF(H49="","",IF(RIGHT(G49,1)="U",CONCATENATE(VLOOKUP(H49,SaKo!E:J,6,FALSE),9,CONCATENATE(MID(G49,1,LEN(G49)-1)))*1,CONCATENATE(VLOOKUP(H49,SaKo!E:J,6,FALSE),8,G49)*1)),"")</f>
        <v/>
      </c>
      <c r="AB49" s="114" t="str">
        <f t="shared" si="3"/>
        <v/>
      </c>
      <c r="AC49" s="116" t="str">
        <f t="shared" si="4"/>
        <v/>
      </c>
      <c r="AD49" s="120"/>
      <c r="AE49" s="79"/>
      <c r="AF49" s="79"/>
    </row>
    <row r="50" spans="1:32" ht="23.1" customHeight="1" x14ac:dyDescent="0.2">
      <c r="A50" s="120" t="str">
        <f t="shared" si="5"/>
        <v/>
      </c>
      <c r="B50" s="79"/>
      <c r="C50" s="48">
        <v>31</v>
      </c>
      <c r="D50" s="49"/>
      <c r="E50" s="195"/>
      <c r="F50" s="195"/>
      <c r="G50" s="50"/>
      <c r="H50" s="46" t="str">
        <f>IF($S50="","",IF($S50=1,VLOOKUP($T50,SaKoBereichAufwand,2,FALSE),VLOOKUP($Z50,SaKo!D:E,2,FALSE)))</f>
        <v/>
      </c>
      <c r="I50" s="159"/>
      <c r="J50" s="75"/>
      <c r="K50" s="51" t="str">
        <f t="shared" si="7"/>
        <v/>
      </c>
      <c r="L50" s="40"/>
      <c r="M50" s="158"/>
      <c r="N50" s="40"/>
      <c r="O50" s="194"/>
      <c r="P50" s="194"/>
      <c r="Q50" s="194"/>
      <c r="R50" s="40"/>
      <c r="S50" s="114" t="str">
        <f>IF(M50="","",VLOOKUP(M50,SaKo!A$2:C$3,3,FALSE))</f>
        <v/>
      </c>
      <c r="T50" s="146" t="str">
        <f>IF(J50="","",VLOOKUP(O50,SaKo!L:N,3,FALSE))</f>
        <v/>
      </c>
      <c r="U50" s="115" t="str">
        <f>IFERROR(IF(H50="","",IF(RIGHT(G50,1)="U",CONCATENATE(VLOOKUP(H50,SaKo!K:N,4,FALSE),9,CONCATENATE(MID(G50,1,LEN(G50)-1)))*1,CONCATENATE(VLOOKUP(H50,SaKo!K:N,4,FALSE),8,G50)*1)),"")</f>
        <v/>
      </c>
      <c r="V50" s="114" t="str">
        <f t="shared" si="6"/>
        <v/>
      </c>
      <c r="W50" s="116" t="str">
        <f t="shared" si="1"/>
        <v/>
      </c>
      <c r="X50" s="114" t="str">
        <f t="shared" si="2"/>
        <v/>
      </c>
      <c r="Y50" s="117"/>
      <c r="Z50" s="146" t="str">
        <f>IF(I50="","",VLOOKUP(O50,SaKo!F:J,5,FALSE))</f>
        <v/>
      </c>
      <c r="AA50" s="115" t="str">
        <f>IFERROR(IF(H50="","",IF(RIGHT(G50,1)="U",CONCATENATE(VLOOKUP(H50,SaKo!E:J,6,FALSE),9,CONCATENATE(MID(G50,1,LEN(G50)-1)))*1,CONCATENATE(VLOOKUP(H50,SaKo!E:J,6,FALSE),8,G50)*1)),"")</f>
        <v/>
      </c>
      <c r="AB50" s="114" t="str">
        <f t="shared" si="3"/>
        <v/>
      </c>
      <c r="AC50" s="116" t="str">
        <f t="shared" si="4"/>
        <v/>
      </c>
      <c r="AD50" s="120"/>
      <c r="AE50" s="79"/>
      <c r="AF50" s="79"/>
    </row>
    <row r="51" spans="1:32" ht="23.1" customHeight="1" x14ac:dyDescent="0.2">
      <c r="A51" s="120" t="str">
        <f t="shared" si="5"/>
        <v/>
      </c>
      <c r="B51" s="79"/>
      <c r="C51" s="48">
        <v>32</v>
      </c>
      <c r="D51" s="49"/>
      <c r="E51" s="195"/>
      <c r="F51" s="195"/>
      <c r="G51" s="50"/>
      <c r="H51" s="46" t="str">
        <f>IF($S51="","",IF($S51=1,VLOOKUP($T51,SaKoBereichAufwand,2,FALSE),VLOOKUP($Z51,SaKo!D:E,2,FALSE)))</f>
        <v/>
      </c>
      <c r="I51" s="159"/>
      <c r="J51" s="75"/>
      <c r="K51" s="51" t="str">
        <f t="shared" si="7"/>
        <v/>
      </c>
      <c r="L51" s="40"/>
      <c r="M51" s="158"/>
      <c r="N51" s="40"/>
      <c r="O51" s="194"/>
      <c r="P51" s="194"/>
      <c r="Q51" s="194"/>
      <c r="R51" s="40"/>
      <c r="S51" s="114" t="str">
        <f>IF(M51="","",VLOOKUP(M51,SaKo!A$2:C$3,3,FALSE))</f>
        <v/>
      </c>
      <c r="T51" s="146" t="str">
        <f>IF(J51="","",VLOOKUP(O51,SaKo!L:N,3,FALSE))</f>
        <v/>
      </c>
      <c r="U51" s="115" t="str">
        <f>IFERROR(IF(H51="","",IF(RIGHT(G51,1)="U",CONCATENATE(VLOOKUP(H51,SaKo!K:N,4,FALSE),9,CONCATENATE(MID(G51,1,LEN(G51)-1)))*1,CONCATENATE(VLOOKUP(H51,SaKo!K:N,4,FALSE),8,G51)*1)),"")</f>
        <v/>
      </c>
      <c r="V51" s="114" t="str">
        <f t="shared" si="6"/>
        <v/>
      </c>
      <c r="W51" s="116" t="str">
        <f t="shared" si="1"/>
        <v/>
      </c>
      <c r="X51" s="114" t="str">
        <f t="shared" si="2"/>
        <v/>
      </c>
      <c r="Y51" s="117"/>
      <c r="Z51" s="146" t="str">
        <f>IF(I51="","",VLOOKUP(O51,SaKo!F:J,5,FALSE))</f>
        <v/>
      </c>
      <c r="AA51" s="115" t="str">
        <f>IFERROR(IF(H51="","",IF(RIGHT(G51,1)="U",CONCATENATE(VLOOKUP(H51,SaKo!E:J,6,FALSE),9,CONCATENATE(MID(G51,1,LEN(G51)-1)))*1,CONCATENATE(VLOOKUP(H51,SaKo!E:J,6,FALSE),8,G51)*1)),"")</f>
        <v/>
      </c>
      <c r="AB51" s="114" t="str">
        <f t="shared" si="3"/>
        <v/>
      </c>
      <c r="AC51" s="116" t="str">
        <f t="shared" si="4"/>
        <v/>
      </c>
      <c r="AD51" s="120"/>
      <c r="AE51" s="79"/>
      <c r="AF51" s="79"/>
    </row>
    <row r="52" spans="1:32" ht="23.1" customHeight="1" x14ac:dyDescent="0.2">
      <c r="A52" s="120" t="str">
        <f t="shared" si="5"/>
        <v/>
      </c>
      <c r="B52" s="79"/>
      <c r="C52" s="48">
        <v>33</v>
      </c>
      <c r="D52" s="49"/>
      <c r="E52" s="195"/>
      <c r="F52" s="195"/>
      <c r="G52" s="50"/>
      <c r="H52" s="46" t="str">
        <f>IF($S52="","",IF($S52=1,VLOOKUP($T52,SaKoBereichAufwand,2,FALSE),VLOOKUP($Z52,SaKo!D:E,2,FALSE)))</f>
        <v/>
      </c>
      <c r="I52" s="159"/>
      <c r="J52" s="75"/>
      <c r="K52" s="51" t="str">
        <f t="shared" si="7"/>
        <v/>
      </c>
      <c r="L52" s="40"/>
      <c r="M52" s="158"/>
      <c r="N52" s="40"/>
      <c r="O52" s="194"/>
      <c r="P52" s="194"/>
      <c r="Q52" s="194"/>
      <c r="R52" s="40"/>
      <c r="S52" s="114" t="str">
        <f>IF(M52="","",VLOOKUP(M52,SaKo!A$2:C$3,3,FALSE))</f>
        <v/>
      </c>
      <c r="T52" s="146" t="str">
        <f>IF(J52="","",VLOOKUP(O52,SaKo!L:N,3,FALSE))</f>
        <v/>
      </c>
      <c r="U52" s="115" t="str">
        <f>IFERROR(IF(H52="","",IF(RIGHT(G52,1)="U",CONCATENATE(VLOOKUP(H52,SaKo!K:N,4,FALSE),9,CONCATENATE(MID(G52,1,LEN(G52)-1)))*1,CONCATENATE(VLOOKUP(H52,SaKo!K:N,4,FALSE),8,G52)*1)),"")</f>
        <v/>
      </c>
      <c r="V52" s="114" t="str">
        <f t="shared" ref="V52:V68" si="9">IF(AND($J52&lt;&gt;"",$S52=1),C52,"")</f>
        <v/>
      </c>
      <c r="W52" s="116" t="str">
        <f t="shared" ref="W52:W68" si="10">IF(AND($J52&lt;&gt;"",$S52=1),$J52,"")</f>
        <v/>
      </c>
      <c r="X52" s="114" t="str">
        <f t="shared" ref="X52:X68" si="11">IF(W52="","",C52)</f>
        <v/>
      </c>
      <c r="Y52" s="117"/>
      <c r="Z52" s="146" t="str">
        <f>IF(I52="","",VLOOKUP(O52,SaKo!F:J,5,FALSE))</f>
        <v/>
      </c>
      <c r="AA52" s="115" t="str">
        <f>IFERROR(IF(H52="","",IF(RIGHT(G52,1)="U",CONCATENATE(VLOOKUP(H52,SaKo!E:J,6,FALSE),9,CONCATENATE(MID(G52,1,LEN(G52)-1)))*1,CONCATENATE(VLOOKUP(H52,SaKo!E:J,6,FALSE),8,G52)*1)),"")</f>
        <v/>
      </c>
      <c r="AB52" s="114" t="str">
        <f t="shared" ref="AB52:AB68" si="12">IF(AND($I52&lt;&gt;"",$S52=2),C52,"")</f>
        <v/>
      </c>
      <c r="AC52" s="116" t="str">
        <f t="shared" ref="AC52:AC68" si="13">IF(AND($I52&lt;&gt;"",$S52=2),$I52,"")</f>
        <v/>
      </c>
      <c r="AD52" s="120"/>
      <c r="AE52" s="79"/>
      <c r="AF52" s="79"/>
    </row>
    <row r="53" spans="1:32" ht="23.1" customHeight="1" x14ac:dyDescent="0.2">
      <c r="A53" s="120" t="str">
        <f t="shared" si="5"/>
        <v/>
      </c>
      <c r="B53" s="79"/>
      <c r="C53" s="48">
        <v>34</v>
      </c>
      <c r="D53" s="49"/>
      <c r="E53" s="195"/>
      <c r="F53" s="195"/>
      <c r="G53" s="50"/>
      <c r="H53" s="46" t="str">
        <f>IF($S53="","",IF($S53=1,VLOOKUP($T53,SaKoBereichAufwand,2,FALSE),VLOOKUP($Z53,SaKo!D:E,2,FALSE)))</f>
        <v/>
      </c>
      <c r="I53" s="159"/>
      <c r="J53" s="75"/>
      <c r="K53" s="51" t="str">
        <f t="shared" si="7"/>
        <v/>
      </c>
      <c r="L53" s="40"/>
      <c r="M53" s="158"/>
      <c r="N53" s="40"/>
      <c r="O53" s="194"/>
      <c r="P53" s="194"/>
      <c r="Q53" s="194"/>
      <c r="R53" s="40"/>
      <c r="S53" s="114" t="str">
        <f>IF(M53="","",VLOOKUP(M53,SaKo!A$2:C$3,3,FALSE))</f>
        <v/>
      </c>
      <c r="T53" s="146" t="str">
        <f>IF(J53="","",VLOOKUP(O53,SaKo!L:N,3,FALSE))</f>
        <v/>
      </c>
      <c r="U53" s="115" t="str">
        <f>IFERROR(IF(H53="","",IF(RIGHT(G53,1)="U",CONCATENATE(VLOOKUP(H53,SaKo!K:N,4,FALSE),9,CONCATENATE(MID(G53,1,LEN(G53)-1)))*1,CONCATENATE(VLOOKUP(H53,SaKo!K:N,4,FALSE),8,G53)*1)),"")</f>
        <v/>
      </c>
      <c r="V53" s="114" t="str">
        <f t="shared" si="9"/>
        <v/>
      </c>
      <c r="W53" s="116" t="str">
        <f t="shared" si="10"/>
        <v/>
      </c>
      <c r="X53" s="114" t="str">
        <f t="shared" si="11"/>
        <v/>
      </c>
      <c r="Y53" s="117"/>
      <c r="Z53" s="146" t="str">
        <f>IF(I53="","",VLOOKUP(O53,SaKo!F:J,5,FALSE))</f>
        <v/>
      </c>
      <c r="AA53" s="115" t="str">
        <f>IFERROR(IF(H53="","",IF(RIGHT(G53,1)="U",CONCATENATE(VLOOKUP(H53,SaKo!E:J,6,FALSE),9,CONCATENATE(MID(G53,1,LEN(G53)-1)))*1,CONCATENATE(VLOOKUP(H53,SaKo!E:J,6,FALSE),8,G53)*1)),"")</f>
        <v/>
      </c>
      <c r="AB53" s="114" t="str">
        <f t="shared" si="12"/>
        <v/>
      </c>
      <c r="AC53" s="116" t="str">
        <f t="shared" si="13"/>
        <v/>
      </c>
      <c r="AD53" s="120"/>
      <c r="AE53" s="79"/>
      <c r="AF53" s="79"/>
    </row>
    <row r="54" spans="1:32" ht="23.1" customHeight="1" x14ac:dyDescent="0.2">
      <c r="A54" s="120" t="str">
        <f t="shared" si="5"/>
        <v/>
      </c>
      <c r="B54" s="79"/>
      <c r="C54" s="48">
        <v>35</v>
      </c>
      <c r="D54" s="49"/>
      <c r="E54" s="195"/>
      <c r="F54" s="195"/>
      <c r="G54" s="50"/>
      <c r="H54" s="46" t="str">
        <f>IF($S54="","",IF($S54=1,VLOOKUP($T54,SaKoBereichAufwand,2,FALSE),VLOOKUP($Z54,SaKo!D:E,2,FALSE)))</f>
        <v/>
      </c>
      <c r="I54" s="159"/>
      <c r="J54" s="75"/>
      <c r="K54" s="51" t="str">
        <f t="shared" si="7"/>
        <v/>
      </c>
      <c r="L54" s="40"/>
      <c r="M54" s="158"/>
      <c r="N54" s="40"/>
      <c r="O54" s="194"/>
      <c r="P54" s="194"/>
      <c r="Q54" s="194"/>
      <c r="R54" s="40"/>
      <c r="S54" s="114" t="str">
        <f>IF(M54="","",VLOOKUP(M54,SaKo!A$2:C$3,3,FALSE))</f>
        <v/>
      </c>
      <c r="T54" s="146" t="str">
        <f>IF(J54="","",VLOOKUP(O54,SaKo!L:N,3,FALSE))</f>
        <v/>
      </c>
      <c r="U54" s="115" t="str">
        <f>IFERROR(IF(H54="","",IF(RIGHT(G54,1)="U",CONCATENATE(VLOOKUP(H54,SaKo!K:N,4,FALSE),9,CONCATENATE(MID(G54,1,LEN(G54)-1)))*1,CONCATENATE(VLOOKUP(H54,SaKo!K:N,4,FALSE),8,G54)*1)),"")</f>
        <v/>
      </c>
      <c r="V54" s="114" t="str">
        <f t="shared" si="9"/>
        <v/>
      </c>
      <c r="W54" s="116" t="str">
        <f t="shared" si="10"/>
        <v/>
      </c>
      <c r="X54" s="114" t="str">
        <f t="shared" si="11"/>
        <v/>
      </c>
      <c r="Y54" s="117"/>
      <c r="Z54" s="146" t="str">
        <f>IF(I54="","",VLOOKUP(O54,SaKo!F:J,5,FALSE))</f>
        <v/>
      </c>
      <c r="AA54" s="115" t="str">
        <f>IFERROR(IF(H54="","",IF(RIGHT(G54,1)="U",CONCATENATE(VLOOKUP(H54,SaKo!E:J,6,FALSE),9,CONCATENATE(MID(G54,1,LEN(G54)-1)))*1,CONCATENATE(VLOOKUP(H54,SaKo!E:J,6,FALSE),8,G54)*1)),"")</f>
        <v/>
      </c>
      <c r="AB54" s="114" t="str">
        <f t="shared" si="12"/>
        <v/>
      </c>
      <c r="AC54" s="116" t="str">
        <f t="shared" si="13"/>
        <v/>
      </c>
      <c r="AD54" s="120"/>
      <c r="AE54" s="79"/>
      <c r="AF54" s="79"/>
    </row>
    <row r="55" spans="1:32" ht="23.1" customHeight="1" x14ac:dyDescent="0.2">
      <c r="A55" s="120" t="str">
        <f t="shared" si="5"/>
        <v/>
      </c>
      <c r="B55" s="79"/>
      <c r="C55" s="48">
        <v>36</v>
      </c>
      <c r="D55" s="49"/>
      <c r="E55" s="195"/>
      <c r="F55" s="195"/>
      <c r="G55" s="50"/>
      <c r="H55" s="46" t="str">
        <f>IF($S55="","",IF($S55=1,VLOOKUP($T55,SaKoBereichAufwand,2,FALSE),VLOOKUP($Z55,SaKo!D:E,2,FALSE)))</f>
        <v/>
      </c>
      <c r="I55" s="159"/>
      <c r="J55" s="75"/>
      <c r="K55" s="51" t="str">
        <f t="shared" si="7"/>
        <v/>
      </c>
      <c r="L55" s="40"/>
      <c r="M55" s="158"/>
      <c r="N55" s="40"/>
      <c r="O55" s="194"/>
      <c r="P55" s="194"/>
      <c r="Q55" s="194"/>
      <c r="R55" s="40"/>
      <c r="S55" s="114" t="str">
        <f>IF(M55="","",VLOOKUP(M55,SaKo!A$2:C$3,3,FALSE))</f>
        <v/>
      </c>
      <c r="T55" s="146" t="str">
        <f>IF(J55="","",VLOOKUP(O55,SaKo!L:N,3,FALSE))</f>
        <v/>
      </c>
      <c r="U55" s="115" t="str">
        <f>IFERROR(IF(H55="","",IF(RIGHT(G55,1)="U",CONCATENATE(VLOOKUP(H55,SaKo!K:N,4,FALSE),9,CONCATENATE(MID(G55,1,LEN(G55)-1)))*1,CONCATENATE(VLOOKUP(H55,SaKo!K:N,4,FALSE),8,G55)*1)),"")</f>
        <v/>
      </c>
      <c r="V55" s="114" t="str">
        <f t="shared" si="9"/>
        <v/>
      </c>
      <c r="W55" s="116" t="str">
        <f t="shared" si="10"/>
        <v/>
      </c>
      <c r="X55" s="114" t="str">
        <f t="shared" si="11"/>
        <v/>
      </c>
      <c r="Y55" s="117"/>
      <c r="Z55" s="146" t="str">
        <f>IF(I55="","",VLOOKUP(O55,SaKo!F:J,5,FALSE))</f>
        <v/>
      </c>
      <c r="AA55" s="115" t="str">
        <f>IFERROR(IF(H55="","",IF(RIGHT(G55,1)="U",CONCATENATE(VLOOKUP(H55,SaKo!E:J,6,FALSE),9,CONCATENATE(MID(G55,1,LEN(G55)-1)))*1,CONCATENATE(VLOOKUP(H55,SaKo!E:J,6,FALSE),8,G55)*1)),"")</f>
        <v/>
      </c>
      <c r="AB55" s="114" t="str">
        <f t="shared" si="12"/>
        <v/>
      </c>
      <c r="AC55" s="116" t="str">
        <f t="shared" si="13"/>
        <v/>
      </c>
      <c r="AD55" s="120"/>
      <c r="AE55" s="79"/>
      <c r="AF55" s="79"/>
    </row>
    <row r="56" spans="1:32" ht="23.1" customHeight="1" x14ac:dyDescent="0.2">
      <c r="A56" s="120" t="str">
        <f t="shared" si="5"/>
        <v/>
      </c>
      <c r="B56" s="79"/>
      <c r="C56" s="48">
        <v>37</v>
      </c>
      <c r="D56" s="49"/>
      <c r="E56" s="195"/>
      <c r="F56" s="195"/>
      <c r="G56" s="50"/>
      <c r="H56" s="46" t="str">
        <f>IF($S56="","",IF($S56=1,VLOOKUP($T56,SaKoBereichAufwand,2,FALSE),VLOOKUP($Z56,SaKo!D:E,2,FALSE)))</f>
        <v/>
      </c>
      <c r="I56" s="159"/>
      <c r="J56" s="75"/>
      <c r="K56" s="51" t="str">
        <f t="shared" si="7"/>
        <v/>
      </c>
      <c r="L56" s="40"/>
      <c r="M56" s="158"/>
      <c r="N56" s="40"/>
      <c r="O56" s="194"/>
      <c r="P56" s="194"/>
      <c r="Q56" s="194"/>
      <c r="R56" s="40"/>
      <c r="S56" s="114" t="str">
        <f>IF(M56="","",VLOOKUP(M56,SaKo!A$2:C$3,3,FALSE))</f>
        <v/>
      </c>
      <c r="T56" s="146" t="str">
        <f>IF(J56="","",VLOOKUP(O56,SaKo!L:N,3,FALSE))</f>
        <v/>
      </c>
      <c r="U56" s="115" t="str">
        <f>IFERROR(IF(H56="","",IF(RIGHT(G56,1)="U",CONCATENATE(VLOOKUP(H56,SaKo!K:N,4,FALSE),9,CONCATENATE(MID(G56,1,LEN(G56)-1)))*1,CONCATENATE(VLOOKUP(H56,SaKo!K:N,4,FALSE),8,G56)*1)),"")</f>
        <v/>
      </c>
      <c r="V56" s="114" t="str">
        <f t="shared" si="9"/>
        <v/>
      </c>
      <c r="W56" s="116" t="str">
        <f t="shared" si="10"/>
        <v/>
      </c>
      <c r="X56" s="114" t="str">
        <f t="shared" si="11"/>
        <v/>
      </c>
      <c r="Y56" s="117"/>
      <c r="Z56" s="146" t="str">
        <f>IF(I56="","",VLOOKUP(O56,SaKo!F:J,5,FALSE))</f>
        <v/>
      </c>
      <c r="AA56" s="115" t="str">
        <f>IFERROR(IF(H56="","",IF(RIGHT(G56,1)="U",CONCATENATE(VLOOKUP(H56,SaKo!E:J,6,FALSE),9,CONCATENATE(MID(G56,1,LEN(G56)-1)))*1,CONCATENATE(VLOOKUP(H56,SaKo!E:J,6,FALSE),8,G56)*1)),"")</f>
        <v/>
      </c>
      <c r="AB56" s="114" t="str">
        <f t="shared" si="12"/>
        <v/>
      </c>
      <c r="AC56" s="116" t="str">
        <f t="shared" si="13"/>
        <v/>
      </c>
      <c r="AD56" s="120"/>
      <c r="AE56" s="79"/>
      <c r="AF56" s="79"/>
    </row>
    <row r="57" spans="1:32" ht="23.1" customHeight="1" x14ac:dyDescent="0.2">
      <c r="A57" s="120" t="str">
        <f t="shared" si="5"/>
        <v/>
      </c>
      <c r="B57" s="79"/>
      <c r="C57" s="48">
        <v>38</v>
      </c>
      <c r="D57" s="49"/>
      <c r="E57" s="195"/>
      <c r="F57" s="195"/>
      <c r="G57" s="50"/>
      <c r="H57" s="46" t="str">
        <f>IF($S57="","",IF($S57=1,VLOOKUP($T57,SaKoBereichAufwand,2,FALSE),VLOOKUP($Z57,SaKo!D:E,2,FALSE)))</f>
        <v/>
      </c>
      <c r="I57" s="159"/>
      <c r="J57" s="75"/>
      <c r="K57" s="51" t="str">
        <f t="shared" si="7"/>
        <v/>
      </c>
      <c r="L57" s="40"/>
      <c r="M57" s="158"/>
      <c r="N57" s="40"/>
      <c r="O57" s="194"/>
      <c r="P57" s="194"/>
      <c r="Q57" s="194"/>
      <c r="R57" s="40"/>
      <c r="S57" s="114" t="str">
        <f>IF(M57="","",VLOOKUP(M57,SaKo!A$2:C$3,3,FALSE))</f>
        <v/>
      </c>
      <c r="T57" s="146" t="str">
        <f>IF(J57="","",VLOOKUP(O57,SaKo!L:N,3,FALSE))</f>
        <v/>
      </c>
      <c r="U57" s="115" t="str">
        <f>IFERROR(IF(H57="","",IF(RIGHT(G57,1)="U",CONCATENATE(VLOOKUP(H57,SaKo!K:N,4,FALSE),9,CONCATENATE(MID(G57,1,LEN(G57)-1)))*1,CONCATENATE(VLOOKUP(H57,SaKo!K:N,4,FALSE),8,G57)*1)),"")</f>
        <v/>
      </c>
      <c r="V57" s="114" t="str">
        <f t="shared" si="9"/>
        <v/>
      </c>
      <c r="W57" s="116" t="str">
        <f t="shared" si="10"/>
        <v/>
      </c>
      <c r="X57" s="114" t="str">
        <f t="shared" si="11"/>
        <v/>
      </c>
      <c r="Y57" s="117"/>
      <c r="Z57" s="146" t="str">
        <f>IF(I57="","",VLOOKUP(O57,SaKo!F:J,5,FALSE))</f>
        <v/>
      </c>
      <c r="AA57" s="115" t="str">
        <f>IFERROR(IF(H57="","",IF(RIGHT(G57,1)="U",CONCATENATE(VLOOKUP(H57,SaKo!E:J,6,FALSE),9,CONCATENATE(MID(G57,1,LEN(G57)-1)))*1,CONCATENATE(VLOOKUP(H57,SaKo!E:J,6,FALSE),8,G57)*1)),"")</f>
        <v/>
      </c>
      <c r="AB57" s="114" t="str">
        <f t="shared" si="12"/>
        <v/>
      </c>
      <c r="AC57" s="116" t="str">
        <f t="shared" si="13"/>
        <v/>
      </c>
      <c r="AD57" s="120"/>
      <c r="AE57" s="79"/>
      <c r="AF57" s="79"/>
    </row>
    <row r="58" spans="1:32" ht="23.1" customHeight="1" x14ac:dyDescent="0.2">
      <c r="A58" s="120" t="str">
        <f t="shared" si="5"/>
        <v/>
      </c>
      <c r="B58" s="79"/>
      <c r="C58" s="48">
        <v>39</v>
      </c>
      <c r="D58" s="49"/>
      <c r="E58" s="195"/>
      <c r="F58" s="195"/>
      <c r="G58" s="50"/>
      <c r="H58" s="46" t="str">
        <f>IF($S58="","",IF($S58=1,VLOOKUP($T58,SaKoBereichAufwand,2,FALSE),VLOOKUP($Z58,SaKo!D:E,2,FALSE)))</f>
        <v/>
      </c>
      <c r="I58" s="159"/>
      <c r="J58" s="75"/>
      <c r="K58" s="51" t="str">
        <f t="shared" si="7"/>
        <v/>
      </c>
      <c r="L58" s="40"/>
      <c r="M58" s="158"/>
      <c r="N58" s="40"/>
      <c r="O58" s="194"/>
      <c r="P58" s="194"/>
      <c r="Q58" s="194"/>
      <c r="R58" s="40"/>
      <c r="S58" s="114" t="str">
        <f>IF(M58="","",VLOOKUP(M58,SaKo!A$2:C$3,3,FALSE))</f>
        <v/>
      </c>
      <c r="T58" s="146" t="str">
        <f>IF(J58="","",VLOOKUP(O58,SaKo!L:N,3,FALSE))</f>
        <v/>
      </c>
      <c r="U58" s="115" t="str">
        <f>IFERROR(IF(H58="","",IF(RIGHT(G58,1)="U",CONCATENATE(VLOOKUP(H58,SaKo!K:N,4,FALSE),9,CONCATENATE(MID(G58,1,LEN(G58)-1)))*1,CONCATENATE(VLOOKUP(H58,SaKo!K:N,4,FALSE),8,G58)*1)),"")</f>
        <v/>
      </c>
      <c r="V58" s="114" t="str">
        <f t="shared" si="9"/>
        <v/>
      </c>
      <c r="W58" s="116" t="str">
        <f t="shared" si="10"/>
        <v/>
      </c>
      <c r="X58" s="114" t="str">
        <f t="shared" si="11"/>
        <v/>
      </c>
      <c r="Y58" s="117"/>
      <c r="Z58" s="146" t="str">
        <f>IF(I58="","",VLOOKUP(O58,SaKo!F:J,5,FALSE))</f>
        <v/>
      </c>
      <c r="AA58" s="115" t="str">
        <f>IFERROR(IF(H58="","",IF(RIGHT(G58,1)="U",CONCATENATE(VLOOKUP(H58,SaKo!E:J,6,FALSE),9,CONCATENATE(MID(G58,1,LEN(G58)-1)))*1,CONCATENATE(VLOOKUP(H58,SaKo!E:J,6,FALSE),8,G58)*1)),"")</f>
        <v/>
      </c>
      <c r="AB58" s="114" t="str">
        <f t="shared" si="12"/>
        <v/>
      </c>
      <c r="AC58" s="116" t="str">
        <f t="shared" si="13"/>
        <v/>
      </c>
      <c r="AD58" s="120"/>
      <c r="AE58" s="79"/>
      <c r="AF58" s="79"/>
    </row>
    <row r="59" spans="1:32" ht="23.1" customHeight="1" x14ac:dyDescent="0.2">
      <c r="A59" s="120" t="str">
        <f t="shared" si="5"/>
        <v/>
      </c>
      <c r="B59" s="79"/>
      <c r="C59" s="48">
        <v>40</v>
      </c>
      <c r="D59" s="49"/>
      <c r="E59" s="195"/>
      <c r="F59" s="195"/>
      <c r="G59" s="50"/>
      <c r="H59" s="46" t="str">
        <f>IF($S59="","",IF($S59=1,VLOOKUP($T59,SaKoBereichAufwand,2,FALSE),VLOOKUP($Z59,SaKo!D:E,2,FALSE)))</f>
        <v/>
      </c>
      <c r="I59" s="159"/>
      <c r="J59" s="75"/>
      <c r="K59" s="51" t="str">
        <f t="shared" si="7"/>
        <v/>
      </c>
      <c r="L59" s="40"/>
      <c r="M59" s="158"/>
      <c r="N59" s="40"/>
      <c r="O59" s="194"/>
      <c r="P59" s="194"/>
      <c r="Q59" s="194"/>
      <c r="R59" s="40"/>
      <c r="S59" s="114" t="str">
        <f>IF(M59="","",VLOOKUP(M59,SaKo!A$2:C$3,3,FALSE))</f>
        <v/>
      </c>
      <c r="T59" s="146" t="str">
        <f>IF(J59="","",VLOOKUP(O59,SaKo!L:N,3,FALSE))</f>
        <v/>
      </c>
      <c r="U59" s="115" t="str">
        <f>IFERROR(IF(H59="","",IF(RIGHT(G59,1)="U",CONCATENATE(VLOOKUP(H59,SaKo!K:N,4,FALSE),9,CONCATENATE(MID(G59,1,LEN(G59)-1)))*1,CONCATENATE(VLOOKUP(H59,SaKo!K:N,4,FALSE),8,G59)*1)),"")</f>
        <v/>
      </c>
      <c r="V59" s="114" t="str">
        <f t="shared" si="9"/>
        <v/>
      </c>
      <c r="W59" s="116" t="str">
        <f t="shared" si="10"/>
        <v/>
      </c>
      <c r="X59" s="114" t="str">
        <f t="shared" si="11"/>
        <v/>
      </c>
      <c r="Y59" s="117"/>
      <c r="Z59" s="146" t="str">
        <f>IF(I59="","",VLOOKUP(O59,SaKo!F:J,5,FALSE))</f>
        <v/>
      </c>
      <c r="AA59" s="115" t="str">
        <f>IFERROR(IF(H59="","",IF(RIGHT(G59,1)="U",CONCATENATE(VLOOKUP(H59,SaKo!E:J,6,FALSE),9,CONCATENATE(MID(G59,1,LEN(G59)-1)))*1,CONCATENATE(VLOOKUP(H59,SaKo!E:J,6,FALSE),8,G59)*1)),"")</f>
        <v/>
      </c>
      <c r="AB59" s="114" t="str">
        <f t="shared" si="12"/>
        <v/>
      </c>
      <c r="AC59" s="116" t="str">
        <f t="shared" si="13"/>
        <v/>
      </c>
      <c r="AD59" s="120"/>
      <c r="AE59" s="79"/>
      <c r="AF59" s="79"/>
    </row>
    <row r="60" spans="1:32" ht="23.1" customHeight="1" x14ac:dyDescent="0.2">
      <c r="A60" s="120" t="str">
        <f t="shared" si="5"/>
        <v/>
      </c>
      <c r="B60" s="79"/>
      <c r="C60" s="48">
        <v>41</v>
      </c>
      <c r="D60" s="49"/>
      <c r="E60" s="195"/>
      <c r="F60" s="195"/>
      <c r="G60" s="50"/>
      <c r="H60" s="46" t="str">
        <f>IF($S60="","",IF($S60=1,VLOOKUP($T60,SaKoBereichAufwand,2,FALSE),VLOOKUP($Z60,SaKo!D:E,2,FALSE)))</f>
        <v/>
      </c>
      <c r="I60" s="159"/>
      <c r="J60" s="75"/>
      <c r="K60" s="51" t="str">
        <f t="shared" si="7"/>
        <v/>
      </c>
      <c r="L60" s="40"/>
      <c r="M60" s="158"/>
      <c r="N60" s="40"/>
      <c r="O60" s="194"/>
      <c r="P60" s="194"/>
      <c r="Q60" s="194"/>
      <c r="R60" s="40"/>
      <c r="S60" s="114" t="str">
        <f>IF(M60="","",VLOOKUP(M60,SaKo!A$2:C$3,3,FALSE))</f>
        <v/>
      </c>
      <c r="T60" s="146" t="str">
        <f>IF(J60="","",VLOOKUP(O60,SaKo!L:N,3,FALSE))</f>
        <v/>
      </c>
      <c r="U60" s="115" t="str">
        <f>IFERROR(IF(H60="","",IF(RIGHT(G60,1)="U",CONCATENATE(VLOOKUP(H60,SaKo!K:N,4,FALSE),9,CONCATENATE(MID(G60,1,LEN(G60)-1)))*1,CONCATENATE(VLOOKUP(H60,SaKo!K:N,4,FALSE),8,G60)*1)),"")</f>
        <v/>
      </c>
      <c r="V60" s="114" t="str">
        <f t="shared" si="9"/>
        <v/>
      </c>
      <c r="W60" s="116" t="str">
        <f t="shared" si="10"/>
        <v/>
      </c>
      <c r="X60" s="114" t="str">
        <f t="shared" si="11"/>
        <v/>
      </c>
      <c r="Y60" s="117"/>
      <c r="Z60" s="146" t="str">
        <f>IF(I60="","",VLOOKUP(O60,SaKo!F:J,5,FALSE))</f>
        <v/>
      </c>
      <c r="AA60" s="115" t="str">
        <f>IFERROR(IF(H60="","",IF(RIGHT(G60,1)="U",CONCATENATE(VLOOKUP(H60,SaKo!E:J,6,FALSE),9,CONCATENATE(MID(G60,1,LEN(G60)-1)))*1,CONCATENATE(VLOOKUP(H60,SaKo!E:J,6,FALSE),8,G60)*1)),"")</f>
        <v/>
      </c>
      <c r="AB60" s="114" t="str">
        <f t="shared" si="12"/>
        <v/>
      </c>
      <c r="AC60" s="116" t="str">
        <f t="shared" si="13"/>
        <v/>
      </c>
      <c r="AD60" s="120"/>
      <c r="AE60" s="79"/>
      <c r="AF60" s="79"/>
    </row>
    <row r="61" spans="1:32" ht="23.1" customHeight="1" x14ac:dyDescent="0.2">
      <c r="A61" s="120" t="str">
        <f t="shared" si="5"/>
        <v/>
      </c>
      <c r="B61" s="79"/>
      <c r="C61" s="48">
        <v>42</v>
      </c>
      <c r="D61" s="49"/>
      <c r="E61" s="195"/>
      <c r="F61" s="195"/>
      <c r="G61" s="50"/>
      <c r="H61" s="46" t="str">
        <f>IF($S61="","",IF($S61=1,VLOOKUP($T61,SaKoBereichAufwand,2,FALSE),VLOOKUP($Z61,SaKo!D:E,2,FALSE)))</f>
        <v/>
      </c>
      <c r="I61" s="159"/>
      <c r="J61" s="75"/>
      <c r="K61" s="51" t="str">
        <f t="shared" si="7"/>
        <v/>
      </c>
      <c r="L61" s="40"/>
      <c r="M61" s="158"/>
      <c r="N61" s="40"/>
      <c r="O61" s="194"/>
      <c r="P61" s="194"/>
      <c r="Q61" s="194"/>
      <c r="R61" s="40"/>
      <c r="S61" s="114" t="str">
        <f>IF(M61="","",VLOOKUP(M61,SaKo!A$2:C$3,3,FALSE))</f>
        <v/>
      </c>
      <c r="T61" s="146" t="str">
        <f>IF(J61="","",VLOOKUP(O61,SaKo!L:N,3,FALSE))</f>
        <v/>
      </c>
      <c r="U61" s="115" t="str">
        <f>IFERROR(IF(H61="","",IF(RIGHT(G61,1)="U",CONCATENATE(VLOOKUP(H61,SaKo!K:N,4,FALSE),9,CONCATENATE(MID(G61,1,LEN(G61)-1)))*1,CONCATENATE(VLOOKUP(H61,SaKo!K:N,4,FALSE),8,G61)*1)),"")</f>
        <v/>
      </c>
      <c r="V61" s="114" t="str">
        <f t="shared" si="9"/>
        <v/>
      </c>
      <c r="W61" s="116" t="str">
        <f t="shared" si="10"/>
        <v/>
      </c>
      <c r="X61" s="114" t="str">
        <f t="shared" si="11"/>
        <v/>
      </c>
      <c r="Y61" s="117"/>
      <c r="Z61" s="146" t="str">
        <f>IF(I61="","",VLOOKUP(O61,SaKo!F:J,5,FALSE))</f>
        <v/>
      </c>
      <c r="AA61" s="115" t="str">
        <f>IFERROR(IF(H61="","",IF(RIGHT(G61,1)="U",CONCATENATE(VLOOKUP(H61,SaKo!E:J,6,FALSE),9,CONCATENATE(MID(G61,1,LEN(G61)-1)))*1,CONCATENATE(VLOOKUP(H61,SaKo!E:J,6,FALSE),8,G61)*1)),"")</f>
        <v/>
      </c>
      <c r="AB61" s="114" t="str">
        <f t="shared" si="12"/>
        <v/>
      </c>
      <c r="AC61" s="116" t="str">
        <f t="shared" si="13"/>
        <v/>
      </c>
      <c r="AD61" s="120"/>
      <c r="AE61" s="79"/>
      <c r="AF61" s="79"/>
    </row>
    <row r="62" spans="1:32" ht="23.1" customHeight="1" x14ac:dyDescent="0.2">
      <c r="A62" s="120" t="str">
        <f t="shared" si="5"/>
        <v/>
      </c>
      <c r="B62" s="79"/>
      <c r="C62" s="48">
        <v>43</v>
      </c>
      <c r="D62" s="49"/>
      <c r="E62" s="195"/>
      <c r="F62" s="195"/>
      <c r="G62" s="50"/>
      <c r="H62" s="46" t="str">
        <f>IF($S62="","",IF($S62=1,VLOOKUP($T62,SaKoBereichAufwand,2,FALSE),VLOOKUP($Z62,SaKo!D:E,2,FALSE)))</f>
        <v/>
      </c>
      <c r="I62" s="159"/>
      <c r="J62" s="75"/>
      <c r="K62" s="51" t="str">
        <f t="shared" si="7"/>
        <v/>
      </c>
      <c r="L62" s="40"/>
      <c r="M62" s="158"/>
      <c r="N62" s="40"/>
      <c r="O62" s="194"/>
      <c r="P62" s="194"/>
      <c r="Q62" s="194"/>
      <c r="R62" s="40"/>
      <c r="S62" s="114" t="str">
        <f>IF(M62="","",VLOOKUP(M62,SaKo!A$2:C$3,3,FALSE))</f>
        <v/>
      </c>
      <c r="T62" s="146" t="str">
        <f>IF(J62="","",VLOOKUP(O62,SaKo!L:N,3,FALSE))</f>
        <v/>
      </c>
      <c r="U62" s="115" t="str">
        <f>IFERROR(IF(H62="","",IF(RIGHT(G62,1)="U",CONCATENATE(VLOOKUP(H62,SaKo!K:N,4,FALSE),9,CONCATENATE(MID(G62,1,LEN(G62)-1)))*1,CONCATENATE(VLOOKUP(H62,SaKo!K:N,4,FALSE),8,G62)*1)),"")</f>
        <v/>
      </c>
      <c r="V62" s="114" t="str">
        <f t="shared" si="9"/>
        <v/>
      </c>
      <c r="W62" s="116" t="str">
        <f t="shared" si="10"/>
        <v/>
      </c>
      <c r="X62" s="114" t="str">
        <f t="shared" si="11"/>
        <v/>
      </c>
      <c r="Y62" s="117"/>
      <c r="Z62" s="146" t="str">
        <f>IF(I62="","",VLOOKUP(O62,SaKo!F:J,5,FALSE))</f>
        <v/>
      </c>
      <c r="AA62" s="115" t="str">
        <f>IFERROR(IF(H62="","",IF(RIGHT(G62,1)="U",CONCATENATE(VLOOKUP(H62,SaKo!E:J,6,FALSE),9,CONCATENATE(MID(G62,1,LEN(G62)-1)))*1,CONCATENATE(VLOOKUP(H62,SaKo!E:J,6,FALSE),8,G62)*1)),"")</f>
        <v/>
      </c>
      <c r="AB62" s="114" t="str">
        <f t="shared" si="12"/>
        <v/>
      </c>
      <c r="AC62" s="116" t="str">
        <f t="shared" si="13"/>
        <v/>
      </c>
      <c r="AD62" s="120"/>
      <c r="AE62" s="79"/>
      <c r="AF62" s="79"/>
    </row>
    <row r="63" spans="1:32" ht="23.1" customHeight="1" x14ac:dyDescent="0.2">
      <c r="A63" s="120" t="str">
        <f t="shared" si="5"/>
        <v/>
      </c>
      <c r="B63" s="79"/>
      <c r="C63" s="48">
        <v>44</v>
      </c>
      <c r="D63" s="49"/>
      <c r="E63" s="195"/>
      <c r="F63" s="195"/>
      <c r="G63" s="50"/>
      <c r="H63" s="46" t="str">
        <f>IF($S63="","",IF($S63=1,VLOOKUP($T63,SaKoBereichAufwand,2,FALSE),VLOOKUP($Z63,SaKo!D:E,2,FALSE)))</f>
        <v/>
      </c>
      <c r="I63" s="159"/>
      <c r="J63" s="75"/>
      <c r="K63" s="51" t="str">
        <f t="shared" si="7"/>
        <v/>
      </c>
      <c r="L63" s="40"/>
      <c r="M63" s="158"/>
      <c r="N63" s="40"/>
      <c r="O63" s="194"/>
      <c r="P63" s="194"/>
      <c r="Q63" s="194"/>
      <c r="R63" s="40"/>
      <c r="S63" s="114" t="str">
        <f>IF(M63="","",VLOOKUP(M63,SaKo!A$2:C$3,3,FALSE))</f>
        <v/>
      </c>
      <c r="T63" s="146" t="str">
        <f>IF(J63="","",VLOOKUP(O63,SaKo!L:N,3,FALSE))</f>
        <v/>
      </c>
      <c r="U63" s="115" t="str">
        <f>IFERROR(IF(H63="","",IF(RIGHT(G63,1)="U",CONCATENATE(VLOOKUP(H63,SaKo!K:N,4,FALSE),9,CONCATENATE(MID(G63,1,LEN(G63)-1)))*1,CONCATENATE(VLOOKUP(H63,SaKo!K:N,4,FALSE),8,G63)*1)),"")</f>
        <v/>
      </c>
      <c r="V63" s="114" t="str">
        <f t="shared" si="9"/>
        <v/>
      </c>
      <c r="W63" s="116" t="str">
        <f t="shared" si="10"/>
        <v/>
      </c>
      <c r="X63" s="114" t="str">
        <f t="shared" si="11"/>
        <v/>
      </c>
      <c r="Y63" s="117"/>
      <c r="Z63" s="146" t="str">
        <f>IF(I63="","",VLOOKUP(O63,SaKo!F:J,5,FALSE))</f>
        <v/>
      </c>
      <c r="AA63" s="115" t="str">
        <f>IFERROR(IF(H63="","",IF(RIGHT(G63,1)="U",CONCATENATE(VLOOKUP(H63,SaKo!E:J,6,FALSE),9,CONCATENATE(MID(G63,1,LEN(G63)-1)))*1,CONCATENATE(VLOOKUP(H63,SaKo!E:J,6,FALSE),8,G63)*1)),"")</f>
        <v/>
      </c>
      <c r="AB63" s="114" t="str">
        <f t="shared" si="12"/>
        <v/>
      </c>
      <c r="AC63" s="116" t="str">
        <f t="shared" si="13"/>
        <v/>
      </c>
      <c r="AD63" s="120"/>
      <c r="AE63" s="79"/>
      <c r="AF63" s="79"/>
    </row>
    <row r="64" spans="1:32" ht="23.1" customHeight="1" x14ac:dyDescent="0.2">
      <c r="A64" s="120" t="str">
        <f t="shared" si="5"/>
        <v/>
      </c>
      <c r="B64" s="79"/>
      <c r="C64" s="48">
        <v>45</v>
      </c>
      <c r="D64" s="49"/>
      <c r="E64" s="195"/>
      <c r="F64" s="195"/>
      <c r="G64" s="50"/>
      <c r="H64" s="46" t="str">
        <f>IF($S64="","",IF($S64=1,VLOOKUP($T64,SaKoBereichAufwand,2,FALSE),VLOOKUP($Z64,SaKo!D:E,2,FALSE)))</f>
        <v/>
      </c>
      <c r="I64" s="159"/>
      <c r="J64" s="75"/>
      <c r="K64" s="51" t="str">
        <f t="shared" si="7"/>
        <v/>
      </c>
      <c r="L64" s="111"/>
      <c r="M64" s="158"/>
      <c r="N64" s="40"/>
      <c r="O64" s="194"/>
      <c r="P64" s="194"/>
      <c r="Q64" s="194"/>
      <c r="R64" s="40"/>
      <c r="S64" s="114" t="str">
        <f>IF(M64="","",VLOOKUP(M64,SaKo!A$2:C$3,3,FALSE))</f>
        <v/>
      </c>
      <c r="T64" s="146" t="str">
        <f>IF(J64="","",VLOOKUP(O64,SaKo!L:N,3,FALSE))</f>
        <v/>
      </c>
      <c r="U64" s="115" t="str">
        <f>IFERROR(IF(H64="","",IF(RIGHT(G64,1)="U",CONCATENATE(VLOOKUP(H64,SaKo!K:N,4,FALSE),9,CONCATENATE(MID(G64,1,LEN(G64)-1)))*1,CONCATENATE(VLOOKUP(H64,SaKo!K:N,4,FALSE),8,G64)*1)),"")</f>
        <v/>
      </c>
      <c r="V64" s="114" t="str">
        <f t="shared" si="9"/>
        <v/>
      </c>
      <c r="W64" s="116" t="str">
        <f t="shared" si="10"/>
        <v/>
      </c>
      <c r="X64" s="114" t="str">
        <f t="shared" si="11"/>
        <v/>
      </c>
      <c r="Y64" s="117"/>
      <c r="Z64" s="146" t="str">
        <f>IF(I64="","",VLOOKUP(O64,SaKo!F:J,5,FALSE))</f>
        <v/>
      </c>
      <c r="AA64" s="115" t="str">
        <f>IFERROR(IF(H64="","",IF(RIGHT(G64,1)="U",CONCATENATE(VLOOKUP(H64,SaKo!E:J,6,FALSE),9,CONCATENATE(MID(G64,1,LEN(G64)-1)))*1,CONCATENATE(VLOOKUP(H64,SaKo!E:J,6,FALSE),8,G64)*1)),"")</f>
        <v/>
      </c>
      <c r="AB64" s="114" t="str">
        <f t="shared" si="12"/>
        <v/>
      </c>
      <c r="AC64" s="116" t="str">
        <f t="shared" si="13"/>
        <v/>
      </c>
      <c r="AD64" s="120"/>
      <c r="AE64" s="79"/>
      <c r="AF64" s="79"/>
    </row>
    <row r="65" spans="1:32" ht="23.1" customHeight="1" x14ac:dyDescent="0.2">
      <c r="A65" s="120" t="str">
        <f t="shared" si="5"/>
        <v/>
      </c>
      <c r="B65" s="79"/>
      <c r="C65" s="48">
        <v>46</v>
      </c>
      <c r="D65" s="49"/>
      <c r="E65" s="195"/>
      <c r="F65" s="195"/>
      <c r="G65" s="50"/>
      <c r="H65" s="46" t="str">
        <f>IF($S65="","",IF($S65=1,VLOOKUP($T65,SaKoBereichAufwand,2,FALSE),VLOOKUP($Z65,SaKo!D:E,2,FALSE)))</f>
        <v/>
      </c>
      <c r="I65" s="159"/>
      <c r="J65" s="75"/>
      <c r="K65" s="51" t="str">
        <f t="shared" si="7"/>
        <v/>
      </c>
      <c r="L65" s="40"/>
      <c r="M65" s="158"/>
      <c r="N65" s="40"/>
      <c r="O65" s="194"/>
      <c r="P65" s="194"/>
      <c r="Q65" s="194"/>
      <c r="R65" s="40"/>
      <c r="S65" s="114" t="str">
        <f>IF(M65="","",VLOOKUP(M65,SaKo!A$2:C$3,3,FALSE))</f>
        <v/>
      </c>
      <c r="T65" s="146" t="str">
        <f>IF(J65="","",VLOOKUP(O65,SaKo!L:N,3,FALSE))</f>
        <v/>
      </c>
      <c r="U65" s="115" t="str">
        <f>IFERROR(IF(H65="","",IF(RIGHT(G65,1)="U",CONCATENATE(VLOOKUP(H65,SaKo!K:N,4,FALSE),9,CONCATENATE(MID(G65,1,LEN(G65)-1)))*1,CONCATENATE(VLOOKUP(H65,SaKo!K:N,4,FALSE),8,G65)*1)),"")</f>
        <v/>
      </c>
      <c r="V65" s="114" t="str">
        <f t="shared" si="9"/>
        <v/>
      </c>
      <c r="W65" s="116" t="str">
        <f t="shared" si="10"/>
        <v/>
      </c>
      <c r="X65" s="114" t="str">
        <f t="shared" si="11"/>
        <v/>
      </c>
      <c r="Y65" s="117"/>
      <c r="Z65" s="146" t="str">
        <f>IF(I65="","",VLOOKUP(O65,SaKo!F:J,5,FALSE))</f>
        <v/>
      </c>
      <c r="AA65" s="115" t="str">
        <f>IFERROR(IF(H65="","",IF(RIGHT(G65,1)="U",CONCATENATE(VLOOKUP(H65,SaKo!E:J,6,FALSE),9,CONCATENATE(MID(G65,1,LEN(G65)-1)))*1,CONCATENATE(VLOOKUP(H65,SaKo!E:J,6,FALSE),8,G65)*1)),"")</f>
        <v/>
      </c>
      <c r="AB65" s="114" t="str">
        <f t="shared" si="12"/>
        <v/>
      </c>
      <c r="AC65" s="116" t="str">
        <f t="shared" si="13"/>
        <v/>
      </c>
      <c r="AD65" s="120"/>
      <c r="AE65" s="79"/>
      <c r="AF65" s="79"/>
    </row>
    <row r="66" spans="1:32" ht="23.1" customHeight="1" x14ac:dyDescent="0.2">
      <c r="A66" s="120" t="str">
        <f t="shared" si="5"/>
        <v/>
      </c>
      <c r="B66" s="79"/>
      <c r="C66" s="48">
        <v>47</v>
      </c>
      <c r="D66" s="49"/>
      <c r="E66" s="195"/>
      <c r="F66" s="195"/>
      <c r="G66" s="50"/>
      <c r="H66" s="46" t="str">
        <f>IF($S66="","",IF($S66=1,VLOOKUP($T66,SaKoBereichAufwand,2,FALSE),VLOOKUP($Z66,SaKo!D:E,2,FALSE)))</f>
        <v/>
      </c>
      <c r="I66" s="159"/>
      <c r="J66" s="75"/>
      <c r="K66" s="51" t="str">
        <f t="shared" si="7"/>
        <v/>
      </c>
      <c r="L66" s="40"/>
      <c r="M66" s="158"/>
      <c r="N66" s="40"/>
      <c r="O66" s="194"/>
      <c r="P66" s="194"/>
      <c r="Q66" s="194"/>
      <c r="R66" s="40"/>
      <c r="S66" s="114" t="str">
        <f>IF(M66="","",VLOOKUP(M66,SaKo!A$2:C$3,3,FALSE))</f>
        <v/>
      </c>
      <c r="T66" s="146" t="str">
        <f>IF(J66="","",VLOOKUP(O66,SaKo!L:N,3,FALSE))</f>
        <v/>
      </c>
      <c r="U66" s="115" t="str">
        <f>IFERROR(IF(H66="","",IF(RIGHT(G66,1)="U",CONCATENATE(VLOOKUP(H66,SaKo!K:N,4,FALSE),9,CONCATENATE(MID(G66,1,LEN(G66)-1)))*1,CONCATENATE(VLOOKUP(H66,SaKo!K:N,4,FALSE),8,G66)*1)),"")</f>
        <v/>
      </c>
      <c r="V66" s="114" t="str">
        <f t="shared" si="9"/>
        <v/>
      </c>
      <c r="W66" s="116" t="str">
        <f t="shared" si="10"/>
        <v/>
      </c>
      <c r="X66" s="114" t="str">
        <f t="shared" si="11"/>
        <v/>
      </c>
      <c r="Y66" s="117"/>
      <c r="Z66" s="146" t="str">
        <f>IF(I66="","",VLOOKUP(O66,SaKo!F:J,5,FALSE))</f>
        <v/>
      </c>
      <c r="AA66" s="115" t="str">
        <f>IFERROR(IF(H66="","",IF(RIGHT(G66,1)="U",CONCATENATE(VLOOKUP(H66,SaKo!E:J,6,FALSE),9,CONCATENATE(MID(G66,1,LEN(G66)-1)))*1,CONCATENATE(VLOOKUP(H66,SaKo!E:J,6,FALSE),8,G66)*1)),"")</f>
        <v/>
      </c>
      <c r="AB66" s="114" t="str">
        <f t="shared" si="12"/>
        <v/>
      </c>
      <c r="AC66" s="116" t="str">
        <f t="shared" si="13"/>
        <v/>
      </c>
      <c r="AD66" s="120"/>
      <c r="AE66" s="79"/>
      <c r="AF66" s="79"/>
    </row>
    <row r="67" spans="1:32" ht="23.1" customHeight="1" x14ac:dyDescent="0.2">
      <c r="A67" s="120" t="str">
        <f t="shared" si="5"/>
        <v/>
      </c>
      <c r="B67" s="79"/>
      <c r="C67" s="48">
        <v>48</v>
      </c>
      <c r="D67" s="49"/>
      <c r="E67" s="195"/>
      <c r="F67" s="195"/>
      <c r="G67" s="50"/>
      <c r="H67" s="46" t="str">
        <f>IF($S67="","",IF($S67=1,VLOOKUP($T67,SaKoBereichAufwand,2,FALSE),VLOOKUP($Z67,SaKo!D:E,2,FALSE)))</f>
        <v/>
      </c>
      <c r="I67" s="159"/>
      <c r="J67" s="75"/>
      <c r="K67" s="51" t="str">
        <f t="shared" si="7"/>
        <v/>
      </c>
      <c r="L67" s="40"/>
      <c r="M67" s="158"/>
      <c r="N67" s="40"/>
      <c r="O67" s="194"/>
      <c r="P67" s="194"/>
      <c r="Q67" s="194"/>
      <c r="R67" s="40"/>
      <c r="S67" s="114" t="str">
        <f>IF(M67="","",VLOOKUP(M67,SaKo!A$2:C$3,3,FALSE))</f>
        <v/>
      </c>
      <c r="T67" s="146" t="str">
        <f>IF(J67="","",VLOOKUP(O67,SaKo!L:N,3,FALSE))</f>
        <v/>
      </c>
      <c r="U67" s="115" t="str">
        <f>IFERROR(IF(H67="","",IF(RIGHT(G67,1)="U",CONCATENATE(VLOOKUP(H67,SaKo!K:N,4,FALSE),9,CONCATENATE(MID(G67,1,LEN(G67)-1)))*1,CONCATENATE(VLOOKUP(H67,SaKo!K:N,4,FALSE),8,G67)*1)),"")</f>
        <v/>
      </c>
      <c r="V67" s="114" t="str">
        <f t="shared" si="9"/>
        <v/>
      </c>
      <c r="W67" s="116" t="str">
        <f t="shared" si="10"/>
        <v/>
      </c>
      <c r="X67" s="114" t="str">
        <f t="shared" si="11"/>
        <v/>
      </c>
      <c r="Y67" s="117"/>
      <c r="Z67" s="146" t="str">
        <f>IF(I67="","",VLOOKUP(O67,SaKo!F:J,5,FALSE))</f>
        <v/>
      </c>
      <c r="AA67" s="115" t="str">
        <f>IFERROR(IF(H67="","",IF(RIGHT(G67,1)="U",CONCATENATE(VLOOKUP(H67,SaKo!E:J,6,FALSE),9,CONCATENATE(MID(G67,1,LEN(G67)-1)))*1,CONCATENATE(VLOOKUP(H67,SaKo!E:J,6,FALSE),8,G67)*1)),"")</f>
        <v/>
      </c>
      <c r="AB67" s="114" t="str">
        <f t="shared" si="12"/>
        <v/>
      </c>
      <c r="AC67" s="116" t="str">
        <f t="shared" si="13"/>
        <v/>
      </c>
      <c r="AD67" s="120"/>
      <c r="AE67" s="79"/>
      <c r="AF67" s="79"/>
    </row>
    <row r="68" spans="1:32" ht="23.1" customHeight="1" x14ac:dyDescent="0.2">
      <c r="A68" s="120" t="str">
        <f t="shared" si="5"/>
        <v/>
      </c>
      <c r="B68" s="79"/>
      <c r="C68" s="48">
        <v>49</v>
      </c>
      <c r="D68" s="49"/>
      <c r="E68" s="195"/>
      <c r="F68" s="195"/>
      <c r="G68" s="50"/>
      <c r="H68" s="46" t="str">
        <f>IF($S68="","",IF($S68=1,VLOOKUP($T68,SaKoBereichAufwand,2,FALSE),VLOOKUP($Z68,SaKo!D:E,2,FALSE)))</f>
        <v/>
      </c>
      <c r="I68" s="159"/>
      <c r="J68" s="75"/>
      <c r="K68" s="51" t="str">
        <f t="shared" si="7"/>
        <v/>
      </c>
      <c r="L68" s="40"/>
      <c r="M68" s="158"/>
      <c r="N68" s="40"/>
      <c r="O68" s="194"/>
      <c r="P68" s="194"/>
      <c r="Q68" s="194"/>
      <c r="R68" s="40"/>
      <c r="S68" s="114" t="str">
        <f>IF(M68="","",VLOOKUP(M68,SaKo!A$2:C$3,3,FALSE))</f>
        <v/>
      </c>
      <c r="T68" s="146" t="str">
        <f>IF(J68="","",VLOOKUP(O68,SaKo!L:N,3,FALSE))</f>
        <v/>
      </c>
      <c r="U68" s="115" t="str">
        <f>IFERROR(IF(H68="","",IF(RIGHT(G68,1)="U",CONCATENATE(VLOOKUP(H68,SaKo!K:N,4,FALSE),9,CONCATENATE(MID(G68,1,LEN(G68)-1)))*1,CONCATENATE(VLOOKUP(H68,SaKo!K:N,4,FALSE),8,G68)*1)),"")</f>
        <v/>
      </c>
      <c r="V68" s="114" t="str">
        <f t="shared" si="9"/>
        <v/>
      </c>
      <c r="W68" s="116" t="str">
        <f t="shared" si="10"/>
        <v/>
      </c>
      <c r="X68" s="114" t="str">
        <f t="shared" si="11"/>
        <v/>
      </c>
      <c r="Y68" s="117"/>
      <c r="Z68" s="146" t="str">
        <f>IF(I68="","",VLOOKUP(O68,SaKo!F:J,5,FALSE))</f>
        <v/>
      </c>
      <c r="AA68" s="115" t="str">
        <f>IFERROR(IF(H68="","",IF(RIGHT(G68,1)="U",CONCATENATE(VLOOKUP(H68,SaKo!E:J,6,FALSE),9,CONCATENATE(MID(G68,1,LEN(G68)-1)))*1,CONCATENATE(VLOOKUP(H68,SaKo!E:J,6,FALSE),8,G68)*1)),"")</f>
        <v/>
      </c>
      <c r="AB68" s="114" t="str">
        <f t="shared" si="12"/>
        <v/>
      </c>
      <c r="AC68" s="116" t="str">
        <f t="shared" si="13"/>
        <v/>
      </c>
      <c r="AD68" s="120"/>
      <c r="AE68" s="79"/>
      <c r="AF68" s="79"/>
    </row>
    <row r="69" spans="1:32" ht="21" customHeight="1" x14ac:dyDescent="0.2">
      <c r="D69" s="14"/>
      <c r="E69" s="14"/>
      <c r="F69" s="14" t="s">
        <v>86</v>
      </c>
      <c r="G69" s="14"/>
      <c r="H69" s="14"/>
      <c r="I69" s="41">
        <f>SUM(I20:I68)</f>
        <v>0</v>
      </c>
      <c r="J69" s="76">
        <f>SUM(J20:J68)</f>
        <v>0</v>
      </c>
      <c r="K69" s="74"/>
      <c r="L69" s="40"/>
      <c r="M69" s="79"/>
      <c r="N69" s="40"/>
      <c r="O69" s="40"/>
      <c r="P69" s="40"/>
      <c r="Q69" s="40"/>
      <c r="R69" s="40"/>
      <c r="S69" s="79"/>
      <c r="T69" s="79"/>
    </row>
  </sheetData>
  <sheetProtection algorithmName="SHA-512" hashValue="wa6N6VTgEXhW0sCGnkHTof2WR3UInVO3tAnlPDynuHzMW01s8QjYHoLAJtj9dQCSlxRPI1ZqUGTkgIzBywQO3w==" saltValue="ztMmaeUDXsM2J0tAAY9S4w==" spinCount="100000" sheet="1" selectLockedCells="1"/>
  <dataConsolidate/>
  <mergeCells count="116">
    <mergeCell ref="U18:W18"/>
    <mergeCell ref="AA18:AC18"/>
    <mergeCell ref="U17:AC17"/>
    <mergeCell ref="E56:F56"/>
    <mergeCell ref="E55:F55"/>
    <mergeCell ref="I18:J18"/>
    <mergeCell ref="O19:R19"/>
    <mergeCell ref="E20:F20"/>
    <mergeCell ref="E19:F19"/>
    <mergeCell ref="E54:F54"/>
    <mergeCell ref="E53:F53"/>
    <mergeCell ref="E21:F21"/>
    <mergeCell ref="E22:F22"/>
    <mergeCell ref="E23:F23"/>
    <mergeCell ref="E24:F24"/>
    <mergeCell ref="E25:F25"/>
    <mergeCell ref="E42:F42"/>
    <mergeCell ref="E41:F41"/>
    <mergeCell ref="E31:F31"/>
    <mergeCell ref="O24:Q24"/>
    <mergeCell ref="O25:Q25"/>
    <mergeCell ref="O26:Q26"/>
    <mergeCell ref="O27:Q27"/>
    <mergeCell ref="O28:Q28"/>
    <mergeCell ref="E68:F68"/>
    <mergeCell ref="E67:F67"/>
    <mergeCell ref="E66:F66"/>
    <mergeCell ref="E65:F65"/>
    <mergeCell ref="E64:F64"/>
    <mergeCell ref="D14:F16"/>
    <mergeCell ref="O2:P4"/>
    <mergeCell ref="F2:F4"/>
    <mergeCell ref="F7:F8"/>
    <mergeCell ref="J2:K4"/>
    <mergeCell ref="F5:K5"/>
    <mergeCell ref="M2:M4"/>
    <mergeCell ref="I8:K8"/>
    <mergeCell ref="M10:R17"/>
    <mergeCell ref="I17:J17"/>
    <mergeCell ref="E26:F26"/>
    <mergeCell ref="E27:F27"/>
    <mergeCell ref="E28:F28"/>
    <mergeCell ref="E29:F29"/>
    <mergeCell ref="E30:F30"/>
    <mergeCell ref="E58:F58"/>
    <mergeCell ref="E57:F57"/>
    <mergeCell ref="E63:F63"/>
    <mergeCell ref="E62:F62"/>
    <mergeCell ref="E61:F61"/>
    <mergeCell ref="E60:F60"/>
    <mergeCell ref="E59:F59"/>
    <mergeCell ref="E52:F52"/>
    <mergeCell ref="E18:F18"/>
    <mergeCell ref="E17:F17"/>
    <mergeCell ref="E47:F47"/>
    <mergeCell ref="E48:F48"/>
    <mergeCell ref="E49:F49"/>
    <mergeCell ref="E50:F50"/>
    <mergeCell ref="E51:F51"/>
    <mergeCell ref="E35:F35"/>
    <mergeCell ref="E34:F34"/>
    <mergeCell ref="E33:F33"/>
    <mergeCell ref="E32:F32"/>
    <mergeCell ref="E46:F46"/>
    <mergeCell ref="E40:F40"/>
    <mergeCell ref="E39:F39"/>
    <mergeCell ref="E38:F38"/>
    <mergeCell ref="E37:F37"/>
    <mergeCell ref="E36:F36"/>
    <mergeCell ref="E45:F45"/>
    <mergeCell ref="E44:F44"/>
    <mergeCell ref="E43:F43"/>
    <mergeCell ref="O20:Q20"/>
    <mergeCell ref="O21:Q21"/>
    <mergeCell ref="O22:Q22"/>
    <mergeCell ref="O23:Q23"/>
    <mergeCell ref="O34:Q34"/>
    <mergeCell ref="O35:Q35"/>
    <mergeCell ref="O36:Q36"/>
    <mergeCell ref="O37:Q37"/>
    <mergeCell ref="O38:Q38"/>
    <mergeCell ref="O29:Q29"/>
    <mergeCell ref="O30:Q30"/>
    <mergeCell ref="O31:Q31"/>
    <mergeCell ref="O32:Q32"/>
    <mergeCell ref="O33:Q33"/>
    <mergeCell ref="O44:Q44"/>
    <mergeCell ref="O45:Q45"/>
    <mergeCell ref="O46:Q46"/>
    <mergeCell ref="O47:Q47"/>
    <mergeCell ref="O48:Q48"/>
    <mergeCell ref="O39:Q39"/>
    <mergeCell ref="O40:Q40"/>
    <mergeCell ref="O41:Q41"/>
    <mergeCell ref="O42:Q42"/>
    <mergeCell ref="O43:Q43"/>
    <mergeCell ref="O54:Q54"/>
    <mergeCell ref="O55:Q55"/>
    <mergeCell ref="O56:Q56"/>
    <mergeCell ref="O57:Q57"/>
    <mergeCell ref="O58:Q58"/>
    <mergeCell ref="O49:Q49"/>
    <mergeCell ref="O50:Q50"/>
    <mergeCell ref="O51:Q51"/>
    <mergeCell ref="O52:Q52"/>
    <mergeCell ref="O53:Q53"/>
    <mergeCell ref="O64:Q64"/>
    <mergeCell ref="O65:Q65"/>
    <mergeCell ref="O66:Q66"/>
    <mergeCell ref="O67:Q67"/>
    <mergeCell ref="O68:Q68"/>
    <mergeCell ref="O59:Q59"/>
    <mergeCell ref="O60:Q60"/>
    <mergeCell ref="O61:Q61"/>
    <mergeCell ref="O62:Q62"/>
    <mergeCell ref="O63:Q63"/>
  </mergeCells>
  <conditionalFormatting sqref="I7 K15">
    <cfRule type="expression" dxfId="3" priority="5">
      <formula>$R$8=1</formula>
    </cfRule>
  </conditionalFormatting>
  <conditionalFormatting sqref="K10">
    <cfRule type="expression" dxfId="2" priority="2">
      <formula>$R$8=1</formula>
    </cfRule>
  </conditionalFormatting>
  <conditionalFormatting sqref="K12">
    <cfRule type="expression" dxfId="1" priority="3">
      <formula>$R$8=1</formula>
    </cfRule>
  </conditionalFormatting>
  <conditionalFormatting sqref="K13">
    <cfRule type="expression" dxfId="0" priority="1">
      <formula>$Q$8=1</formula>
    </cfRule>
  </conditionalFormatting>
  <dataValidations count="4">
    <dataValidation type="custom" showInputMessage="1" showErrorMessage="1" errorTitle="Eingabe im falschen Feld!!" error="Sie haben die Kategorie &quot;Aufwand&quot; gewählt - bitte geben Sie den Betrag in der dafür vorgesehenen Spalte &quot;Aufwand&quot; ein!" sqref="I20:I68">
      <formula1>$S20=2</formula1>
    </dataValidation>
    <dataValidation type="custom" showInputMessage="1" showErrorMessage="1" errorTitle="Eingabe im falschen Feld!!" error="Sie haben die Kategorie &quot;Ertrag&quot; gewählt - bitte geben Sie den Betrag in der dafür vorgesehenen Spalte &quot;Ertrag&quot; ein!" sqref="J20:J68">
      <formula1>$S20=1</formula1>
    </dataValidation>
    <dataValidation type="list" allowBlank="1" showInputMessage="1" showErrorMessage="1" sqref="O20:O68">
      <formula1>INDIRECT($M20)</formula1>
    </dataValidation>
    <dataValidation type="list" allowBlank="1" showInputMessage="1" showErrorMessage="1" sqref="M20:M68">
      <formula1>Gruppen</formula1>
    </dataValidation>
  </dataValidations>
  <pageMargins left="0.55118110236220474" right="0.27559055118110237" top="0.39370078740157483" bottom="0.47244094488188981" header="0.35433070866141736" footer="0.15748031496062992"/>
  <pageSetup paperSize="9" scale="86" fitToHeight="5" orientation="portrait" r:id="rId1"/>
  <headerFooter alignWithMargins="0">
    <oddFooter>&amp;L&amp;"Calibri,Standard"&amp;7Stand: &amp;D&amp;C&amp;"Calibri,Standard"&amp;7Seite &amp;P&amp;R&amp;"Calibri,Standard"&amp;7Version: &amp;F</oddFooter>
  </headerFooter>
  <drawing r:id="rId2"/>
  <extLst>
    <ext xmlns:x14="http://schemas.microsoft.com/office/spreadsheetml/2009/9/main" uri="{CCE6A557-97BC-4b89-ADB6-D9C93CAAB3DF}">
      <x14:dataValidations xmlns:xm="http://schemas.microsoft.com/office/excel/2006/main" count="2">
        <x14:dataValidation type="custom" allowBlank="1" showInputMessage="1" showErrorMessage="1" errorTitle="Buchungsblatt ist voll!" error="Es können keine weiteren Kassenbelege mehr verarbeitet werden, da eines der Buchungsblätter (Aufwand oder Ertrag) keine weiteren Belege mehr verarbeiten kann. Bitte führen Sie die Abrechnung der Handkasse durch!">
          <x14:formula1>
            <xm:f>AND('Buchungsblatt Aufwand'!$A$38=0)</xm:f>
          </x14:formula1>
          <xm:sqref>D20:D68</xm:sqref>
        </x14:dataValidation>
        <x14:dataValidation type="custom" errorStyle="warning" showErrorMessage="1" error="Es stehen nur noch wenige Zeilen in dem Buchungsblatt Aufwand zur Verfügung. Bitte führen Sie zeitnah eine Abrechnung des Kassenbuches durch." promptTitle="Eingabe" prompt="Es stehen nur noch wenige Zeilen in dem Buchungsblatt Aufwand zur Verfügung. Bitte führen Sie zeitnah eine Abrechnung des Kassenbuches durch.">
          <x14:formula1>
            <xm:f>AND('Buchungsblatt Aufwand'!$A$37=0)</xm:f>
          </x14:formula1>
          <xm:sqref>G20:G68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H25"/>
  <sheetViews>
    <sheetView workbookViewId="0">
      <selection activeCell="H6" sqref="H6"/>
    </sheetView>
  </sheetViews>
  <sheetFormatPr baseColWidth="10" defaultRowHeight="15" x14ac:dyDescent="0.25"/>
  <cols>
    <col min="1" max="1" width="4" style="160" customWidth="1"/>
    <col min="2" max="2" width="14.85546875" style="161" customWidth="1"/>
    <col min="3" max="7" width="11.42578125" style="161"/>
    <col min="8" max="8" width="19" style="161" customWidth="1"/>
    <col min="9" max="16384" width="11.42578125" style="161"/>
  </cols>
  <sheetData>
    <row r="1" spans="1:8" ht="24.75" customHeight="1" x14ac:dyDescent="0.25">
      <c r="C1" s="213" t="s">
        <v>9</v>
      </c>
      <c r="D1" s="213"/>
      <c r="E1" s="213"/>
      <c r="G1" s="214"/>
      <c r="H1" s="214"/>
    </row>
    <row r="2" spans="1:8" ht="11.25" customHeight="1" x14ac:dyDescent="0.25">
      <c r="C2" s="213"/>
      <c r="D2" s="213"/>
      <c r="E2" s="213"/>
      <c r="G2" s="202" t="str">
        <f>IF(Kassenbuch!$M$2="","","RT "&amp;VLOOKUP(Kassenbuch!$M$2,RT!$A:$G,4,FALSE))</f>
        <v/>
      </c>
      <c r="H2" s="202"/>
    </row>
    <row r="3" spans="1:8" ht="11.25" customHeight="1" x14ac:dyDescent="0.25">
      <c r="C3" s="213"/>
      <c r="D3" s="213"/>
      <c r="E3" s="213"/>
      <c r="G3" s="202"/>
      <c r="H3" s="202"/>
    </row>
    <row r="4" spans="1:8" x14ac:dyDescent="0.25">
      <c r="C4" s="215" t="str">
        <f>IF(Kassenbuch!$M$2="","",VLOOKUP(Kassenbuch!$M$2,RT!$A:$G,2,FALSE))</f>
        <v/>
      </c>
      <c r="D4" s="215"/>
      <c r="E4" s="215"/>
      <c r="F4" s="215"/>
      <c r="G4" s="215"/>
      <c r="H4" s="215"/>
    </row>
    <row r="5" spans="1:8" ht="12.75" customHeight="1" x14ac:dyDescent="0.25"/>
    <row r="6" spans="1:8" ht="27.75" customHeight="1" x14ac:dyDescent="0.25">
      <c r="A6" s="162"/>
      <c r="B6" s="164" t="str">
        <f>IF(Kassenbuch!Q8=2,"Bestand Handkasse","Bestand Tagesabschluss")</f>
        <v>Bestand Tagesabschluss</v>
      </c>
      <c r="G6" s="153" t="s">
        <v>288</v>
      </c>
      <c r="H6" s="154"/>
    </row>
    <row r="8" spans="1:8" ht="23.25" customHeight="1" x14ac:dyDescent="0.25"/>
    <row r="9" spans="1:8" ht="12.75" customHeight="1" x14ac:dyDescent="0.25"/>
    <row r="10" spans="1:8" ht="23.25" customHeight="1" thickBot="1" x14ac:dyDescent="0.3">
      <c r="E10" s="165" t="s">
        <v>289</v>
      </c>
      <c r="H10" s="166">
        <v>0</v>
      </c>
    </row>
    <row r="11" spans="1:8" s="167" customFormat="1" ht="23.25" customHeight="1" thickTop="1" x14ac:dyDescent="0.25">
      <c r="A11" s="163"/>
      <c r="B11" s="167" t="s">
        <v>299</v>
      </c>
      <c r="F11" s="167" t="s">
        <v>300</v>
      </c>
      <c r="H11" s="66"/>
    </row>
    <row r="12" spans="1:8" s="169" customFormat="1" ht="27.75" customHeight="1" x14ac:dyDescent="0.2">
      <c r="A12" s="168"/>
      <c r="B12" s="170" t="s">
        <v>301</v>
      </c>
      <c r="C12" s="171" t="s">
        <v>0</v>
      </c>
      <c r="D12" s="171" t="s">
        <v>302</v>
      </c>
      <c r="F12" s="170" t="s">
        <v>301</v>
      </c>
      <c r="G12" s="171" t="s">
        <v>0</v>
      </c>
      <c r="H12" s="171" t="s">
        <v>302</v>
      </c>
    </row>
    <row r="13" spans="1:8" s="68" customFormat="1" ht="18.75" customHeight="1" x14ac:dyDescent="0.2">
      <c r="A13" s="163"/>
      <c r="B13" s="179"/>
      <c r="C13" s="172">
        <v>500</v>
      </c>
      <c r="D13" s="172">
        <f>B13*C13</f>
        <v>0</v>
      </c>
      <c r="F13" s="179"/>
      <c r="G13" s="172">
        <v>2</v>
      </c>
      <c r="H13" s="172">
        <f>F13*G13</f>
        <v>0</v>
      </c>
    </row>
    <row r="14" spans="1:8" s="68" customFormat="1" ht="18.75" customHeight="1" x14ac:dyDescent="0.2">
      <c r="A14" s="163"/>
      <c r="B14" s="179"/>
      <c r="C14" s="172">
        <v>200</v>
      </c>
      <c r="D14" s="172">
        <f t="shared" ref="D14:D19" si="0">B14*C14</f>
        <v>0</v>
      </c>
      <c r="F14" s="179"/>
      <c r="G14" s="172">
        <v>1</v>
      </c>
      <c r="H14" s="172">
        <f t="shared" ref="H14:H20" si="1">F14*G14</f>
        <v>0</v>
      </c>
    </row>
    <row r="15" spans="1:8" s="68" customFormat="1" ht="18.75" customHeight="1" x14ac:dyDescent="0.2">
      <c r="A15" s="163"/>
      <c r="B15" s="179"/>
      <c r="C15" s="172">
        <v>100</v>
      </c>
      <c r="D15" s="172">
        <f t="shared" si="0"/>
        <v>0</v>
      </c>
      <c r="F15" s="179"/>
      <c r="G15" s="172">
        <v>0.5</v>
      </c>
      <c r="H15" s="172">
        <f t="shared" si="1"/>
        <v>0</v>
      </c>
    </row>
    <row r="16" spans="1:8" s="68" customFormat="1" ht="18.75" customHeight="1" x14ac:dyDescent="0.2">
      <c r="A16" s="163"/>
      <c r="B16" s="179"/>
      <c r="C16" s="172">
        <v>50</v>
      </c>
      <c r="D16" s="172">
        <f t="shared" si="0"/>
        <v>0</v>
      </c>
      <c r="F16" s="179"/>
      <c r="G16" s="172">
        <v>0.2</v>
      </c>
      <c r="H16" s="172">
        <f t="shared" si="1"/>
        <v>0</v>
      </c>
    </row>
    <row r="17" spans="1:8" s="68" customFormat="1" ht="18.75" customHeight="1" x14ac:dyDescent="0.2">
      <c r="A17" s="163"/>
      <c r="B17" s="179"/>
      <c r="C17" s="172">
        <v>20</v>
      </c>
      <c r="D17" s="172">
        <f t="shared" si="0"/>
        <v>0</v>
      </c>
      <c r="F17" s="179"/>
      <c r="G17" s="172">
        <v>0.1</v>
      </c>
      <c r="H17" s="172">
        <f t="shared" si="1"/>
        <v>0</v>
      </c>
    </row>
    <row r="18" spans="1:8" s="68" customFormat="1" ht="18.75" customHeight="1" x14ac:dyDescent="0.2">
      <c r="A18" s="163"/>
      <c r="B18" s="179"/>
      <c r="C18" s="172">
        <v>10</v>
      </c>
      <c r="D18" s="172">
        <f t="shared" si="0"/>
        <v>0</v>
      </c>
      <c r="F18" s="179"/>
      <c r="G18" s="172">
        <v>0.05</v>
      </c>
      <c r="H18" s="172">
        <f t="shared" si="1"/>
        <v>0</v>
      </c>
    </row>
    <row r="19" spans="1:8" s="68" customFormat="1" ht="18.75" customHeight="1" x14ac:dyDescent="0.2">
      <c r="A19" s="163"/>
      <c r="B19" s="179"/>
      <c r="C19" s="172">
        <v>5</v>
      </c>
      <c r="D19" s="172">
        <f t="shared" si="0"/>
        <v>0</v>
      </c>
      <c r="F19" s="179"/>
      <c r="G19" s="172">
        <v>0.02</v>
      </c>
      <c r="H19" s="172">
        <f t="shared" si="1"/>
        <v>0</v>
      </c>
    </row>
    <row r="20" spans="1:8" s="68" customFormat="1" ht="18.75" customHeight="1" x14ac:dyDescent="0.2">
      <c r="A20" s="163"/>
      <c r="C20" s="173"/>
      <c r="D20" s="173"/>
      <c r="F20" s="180"/>
      <c r="G20" s="172">
        <v>0.01</v>
      </c>
      <c r="H20" s="172">
        <f t="shared" si="1"/>
        <v>0</v>
      </c>
    </row>
    <row r="21" spans="1:8" s="68" customFormat="1" ht="24.75" customHeight="1" x14ac:dyDescent="0.2">
      <c r="A21" s="163"/>
      <c r="G21" s="118" t="s">
        <v>303</v>
      </c>
      <c r="H21" s="181"/>
    </row>
    <row r="22" spans="1:8" s="66" customFormat="1" ht="24.75" customHeight="1" x14ac:dyDescent="0.2">
      <c r="A22" s="163"/>
      <c r="C22" s="118" t="str">
        <f>B11</f>
        <v>Papiergeld:</v>
      </c>
      <c r="D22" s="174">
        <f>SUM(D13:D21)</f>
        <v>0</v>
      </c>
      <c r="G22" s="118" t="str">
        <f>F11</f>
        <v>Münzgeld:</v>
      </c>
      <c r="H22" s="174">
        <f>SUM(H13:H21)</f>
        <v>0</v>
      </c>
    </row>
    <row r="23" spans="1:8" s="66" customFormat="1" ht="24.75" hidden="1" customHeight="1" x14ac:dyDescent="0.2">
      <c r="A23" s="163"/>
      <c r="C23" s="118"/>
      <c r="D23" s="174"/>
      <c r="G23" s="118" t="s">
        <v>305</v>
      </c>
      <c r="H23" s="182"/>
    </row>
    <row r="24" spans="1:8" s="176" customFormat="1" ht="33.75" customHeight="1" thickBot="1" x14ac:dyDescent="0.25">
      <c r="A24" s="175"/>
      <c r="G24" s="178" t="s">
        <v>304</v>
      </c>
      <c r="H24" s="177">
        <f>SUM(D22,H22:H23)</f>
        <v>0</v>
      </c>
    </row>
    <row r="25" spans="1:8" ht="15.75" thickTop="1" x14ac:dyDescent="0.25"/>
  </sheetData>
  <sheetProtection algorithmName="SHA-512" hashValue="gAbnFMpgXhHbvdVTVUWLv33b7EGLIfWoBg+PrqHH+30TdOFXYPUCNSkRZinQutP0EsXaEqglMbRmpEnCwX6H5w==" saltValue="SHb8VShuxkFQ9jc2rT1ZJg==" spinCount="100000" sheet="1" objects="1" scenarios="1" selectLockedCells="1"/>
  <mergeCells count="4">
    <mergeCell ref="C1:E3"/>
    <mergeCell ref="G1:H1"/>
    <mergeCell ref="G2:H3"/>
    <mergeCell ref="C4:H4"/>
  </mergeCells>
  <pageMargins left="0.7" right="0.7" top="0.78740157499999996" bottom="0.78740157499999996" header="0.3" footer="0.3"/>
  <pageSetup paperSize="9" scale="9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rgb="FFD99795"/>
    <pageSetUpPr fitToPage="1"/>
  </sheetPr>
  <dimension ref="A2:Y65"/>
  <sheetViews>
    <sheetView showGridLines="0" zoomScaleNormal="100" workbookViewId="0">
      <selection activeCell="B10" sqref="B10:I10"/>
    </sheetView>
  </sheetViews>
  <sheetFormatPr baseColWidth="10" defaultColWidth="11.42578125" defaultRowHeight="12.75" x14ac:dyDescent="0.2"/>
  <cols>
    <col min="1" max="1" width="20.7109375" style="2" customWidth="1"/>
    <col min="2" max="3" width="8" style="2" customWidth="1"/>
    <col min="4" max="4" width="0.85546875" style="2" customWidth="1"/>
    <col min="5" max="6" width="8" style="2" customWidth="1"/>
    <col min="7" max="7" width="0.85546875" style="2" customWidth="1"/>
    <col min="8" max="9" width="8" style="2" customWidth="1"/>
    <col min="10" max="10" width="26.42578125" style="2" customWidth="1"/>
    <col min="11" max="11" width="2.7109375" style="2" customWidth="1"/>
    <col min="12" max="12" width="14.5703125" style="3" hidden="1" customWidth="1"/>
    <col min="13" max="13" width="23.28515625" style="2" hidden="1" customWidth="1"/>
    <col min="14" max="14" width="31.28515625" style="2" hidden="1" customWidth="1"/>
    <col min="15" max="15" width="32.140625" style="2" hidden="1" customWidth="1"/>
    <col min="16" max="16" width="21.140625" style="2" hidden="1" customWidth="1"/>
    <col min="17" max="17" width="26" style="2" hidden="1" customWidth="1"/>
    <col min="18" max="18" width="11.42578125" style="2" hidden="1" customWidth="1"/>
    <col min="19" max="19" width="18.42578125" style="2" hidden="1" customWidth="1"/>
    <col min="20" max="16384" width="11.42578125" style="2"/>
  </cols>
  <sheetData>
    <row r="2" spans="1:25" ht="12.75" customHeight="1" x14ac:dyDescent="0.2">
      <c r="B2" s="218" t="s">
        <v>9</v>
      </c>
      <c r="C2" s="218"/>
      <c r="D2" s="218"/>
      <c r="E2" s="218"/>
      <c r="H2" s="129"/>
      <c r="I2" s="202" t="str">
        <f>IF(Kassenbuch!$M$2="","",VLOOKUP(Kassenbuch!$M$2,RT!$A$2:$G$500,5,FALSE))</f>
        <v/>
      </c>
      <c r="J2" s="202"/>
    </row>
    <row r="3" spans="1:25" ht="12.75" customHeight="1" x14ac:dyDescent="0.2">
      <c r="B3" s="218"/>
      <c r="C3" s="218"/>
      <c r="D3" s="218"/>
      <c r="E3" s="218"/>
      <c r="F3" s="129"/>
      <c r="G3" s="129"/>
      <c r="H3" s="129"/>
      <c r="I3" s="202"/>
      <c r="J3" s="202"/>
    </row>
    <row r="4" spans="1:25" ht="12.75" customHeight="1" x14ac:dyDescent="0.2">
      <c r="B4" s="218"/>
      <c r="C4" s="218"/>
      <c r="D4" s="218"/>
      <c r="E4" s="218"/>
      <c r="F4" s="129"/>
      <c r="G4" s="129"/>
      <c r="H4" s="129"/>
      <c r="I4" s="202"/>
      <c r="J4" s="202"/>
    </row>
    <row r="5" spans="1:25" ht="21.75" customHeight="1" x14ac:dyDescent="0.2">
      <c r="B5" s="215" t="str">
        <f>IF(Kassenbuch!$M$2="","",VLOOKUP(Kassenbuch!$M$2,RT!$A$2:$G$500,2,FALSE))</f>
        <v/>
      </c>
      <c r="C5" s="215"/>
      <c r="D5" s="215"/>
      <c r="E5" s="215"/>
      <c r="F5" s="215"/>
      <c r="G5" s="215"/>
      <c r="H5" s="215"/>
      <c r="I5" s="215"/>
      <c r="J5" s="215"/>
    </row>
    <row r="6" spans="1:25" s="112" customFormat="1" ht="10.5" customHeight="1" x14ac:dyDescent="0.2">
      <c r="C6" s="130"/>
      <c r="D6" s="130"/>
      <c r="L6" s="79"/>
    </row>
    <row r="7" spans="1:25" s="34" customFormat="1" ht="30" customHeight="1" x14ac:dyDescent="0.2">
      <c r="B7" s="130" t="s">
        <v>31</v>
      </c>
      <c r="L7" s="3"/>
      <c r="M7" s="2"/>
      <c r="N7" s="2"/>
      <c r="O7" s="2"/>
      <c r="P7" s="2"/>
      <c r="Q7" s="2"/>
      <c r="R7" s="2"/>
      <c r="S7" s="2"/>
      <c r="T7" s="2"/>
      <c r="U7" s="2"/>
      <c r="V7" s="2"/>
      <c r="W7" s="2"/>
      <c r="X7" s="2"/>
      <c r="Y7" s="2"/>
    </row>
    <row r="8" spans="1:25" s="14" customFormat="1" ht="29.25" customHeight="1" x14ac:dyDescent="0.2">
      <c r="A8" s="131"/>
      <c r="B8" s="219"/>
      <c r="C8" s="219"/>
      <c r="D8" s="219"/>
      <c r="E8" s="219"/>
      <c r="F8" s="219"/>
      <c r="G8" s="219"/>
      <c r="H8" s="219"/>
      <c r="I8" s="219"/>
      <c r="J8" s="132"/>
      <c r="L8" s="79"/>
      <c r="M8" s="112"/>
      <c r="N8" s="112"/>
      <c r="O8" s="112"/>
      <c r="P8" s="112"/>
      <c r="Q8" s="112"/>
      <c r="R8" s="112"/>
      <c r="S8" s="112"/>
      <c r="T8" s="112"/>
      <c r="U8" s="112"/>
      <c r="V8" s="112"/>
      <c r="W8" s="112"/>
      <c r="X8" s="112"/>
      <c r="Y8" s="112"/>
    </row>
    <row r="9" spans="1:25" s="14" customFormat="1" ht="30" customHeight="1" x14ac:dyDescent="0.2">
      <c r="A9" s="133" t="s">
        <v>32</v>
      </c>
      <c r="B9" s="220" t="str">
        <f>IF(Kassenbuch!$M$2&lt;&gt;"","HK "&amp;VLOOKUP(Kassenbuch!$M$2,RT!$A$2:$G$500,4,FALSE),"")</f>
        <v/>
      </c>
      <c r="C9" s="220"/>
      <c r="D9" s="134"/>
      <c r="E9" s="221" t="str">
        <f>IF(Kassenbuch!$M$2&lt;&gt;"",VLOOKUP(Kassenbuch!$M$2,RT!$A$2:$G$500,2,FALSE),"")</f>
        <v/>
      </c>
      <c r="F9" s="221"/>
      <c r="G9" s="221"/>
      <c r="H9" s="221"/>
      <c r="I9" s="221"/>
      <c r="J9" s="221"/>
      <c r="L9" s="79"/>
      <c r="M9" s="112"/>
      <c r="N9" s="112"/>
      <c r="O9" s="112"/>
      <c r="P9" s="112"/>
      <c r="Q9" s="112"/>
      <c r="R9" s="112"/>
      <c r="S9" s="112"/>
      <c r="T9" s="112"/>
      <c r="U9" s="112"/>
      <c r="V9" s="112"/>
      <c r="W9" s="112"/>
      <c r="X9" s="112"/>
      <c r="Y9" s="112"/>
    </row>
    <row r="10" spans="1:25" s="34" customFormat="1" ht="30" customHeight="1" x14ac:dyDescent="0.2">
      <c r="A10" s="61" t="s">
        <v>2</v>
      </c>
      <c r="B10" s="216"/>
      <c r="C10" s="216"/>
      <c r="D10" s="216"/>
      <c r="E10" s="216"/>
      <c r="F10" s="216"/>
      <c r="G10" s="216"/>
      <c r="H10" s="216"/>
      <c r="I10" s="216"/>
      <c r="J10" s="63"/>
      <c r="L10" s="3"/>
      <c r="M10" s="2"/>
      <c r="N10" s="2"/>
      <c r="O10" s="2"/>
      <c r="P10" s="2"/>
      <c r="Q10" s="2"/>
      <c r="R10" s="2"/>
      <c r="S10" s="2"/>
      <c r="T10" s="2"/>
      <c r="U10" s="2"/>
      <c r="V10" s="2"/>
      <c r="W10" s="2"/>
      <c r="X10" s="2"/>
      <c r="Y10" s="2"/>
    </row>
    <row r="11" spans="1:25" s="34" customFormat="1" ht="25.5" customHeight="1" x14ac:dyDescent="0.25">
      <c r="A11" s="135" t="s">
        <v>1</v>
      </c>
      <c r="B11" s="19"/>
      <c r="C11" s="19"/>
      <c r="D11" s="217"/>
      <c r="E11" s="217"/>
      <c r="F11" s="19"/>
      <c r="G11" s="217"/>
      <c r="H11" s="217"/>
      <c r="I11" s="19"/>
      <c r="J11" s="60"/>
      <c r="K11" s="1"/>
      <c r="L11" s="3"/>
      <c r="M11" s="2"/>
      <c r="N11" s="2"/>
      <c r="O11" s="2"/>
      <c r="P11" s="2"/>
      <c r="Q11" s="2"/>
      <c r="R11" s="2"/>
      <c r="S11" s="2"/>
      <c r="T11" s="2"/>
      <c r="U11" s="2"/>
      <c r="V11" s="2"/>
      <c r="W11" s="2"/>
      <c r="X11" s="2"/>
      <c r="Y11" s="2"/>
    </row>
    <row r="12" spans="1:25" s="34" customFormat="1" ht="4.5" customHeight="1" x14ac:dyDescent="0.2">
      <c r="A12" s="55"/>
      <c r="B12" s="56"/>
      <c r="C12" s="57"/>
      <c r="D12" s="58"/>
      <c r="E12" s="59"/>
      <c r="F12" s="57"/>
      <c r="G12" s="58"/>
      <c r="H12" s="59"/>
      <c r="I12" s="57"/>
      <c r="J12" s="60"/>
      <c r="K12" s="1"/>
      <c r="L12" s="3"/>
      <c r="M12" s="2"/>
      <c r="N12" s="2"/>
      <c r="O12" s="2"/>
      <c r="P12" s="2"/>
      <c r="Q12" s="2"/>
      <c r="R12" s="2"/>
      <c r="S12" s="2"/>
      <c r="T12" s="2"/>
      <c r="U12" s="2"/>
      <c r="V12" s="2"/>
      <c r="W12" s="2"/>
      <c r="X12" s="2"/>
      <c r="Y12" s="2"/>
    </row>
    <row r="13" spans="1:25" s="34" customFormat="1" ht="14.25" customHeight="1" x14ac:dyDescent="0.2">
      <c r="A13" s="61"/>
      <c r="B13" s="62"/>
      <c r="C13" s="62"/>
      <c r="D13" s="62"/>
      <c r="E13" s="62"/>
      <c r="F13" s="62"/>
      <c r="G13" s="62"/>
      <c r="H13" s="62"/>
      <c r="I13" s="62"/>
      <c r="J13" s="63"/>
      <c r="L13" s="3"/>
      <c r="M13" s="2"/>
      <c r="N13" s="2"/>
      <c r="O13" s="2"/>
      <c r="P13" s="2"/>
      <c r="Q13" s="2"/>
      <c r="R13" s="2"/>
      <c r="S13" s="2"/>
      <c r="T13" s="2"/>
      <c r="U13" s="2"/>
      <c r="V13" s="2"/>
      <c r="W13" s="2"/>
      <c r="X13" s="2"/>
      <c r="Y13" s="2"/>
    </row>
    <row r="14" spans="1:25" s="34" customFormat="1" ht="40.5" customHeight="1" x14ac:dyDescent="0.2">
      <c r="A14" s="64" t="s">
        <v>78</v>
      </c>
      <c r="B14" s="65"/>
      <c r="C14" s="65"/>
      <c r="D14" s="65"/>
      <c r="E14" s="65"/>
      <c r="F14" s="65"/>
      <c r="G14" s="65"/>
      <c r="H14" s="65"/>
      <c r="I14" s="65"/>
      <c r="J14" s="65"/>
      <c r="L14" s="222"/>
      <c r="M14" s="223"/>
      <c r="N14" s="148"/>
      <c r="O14" s="148"/>
      <c r="P14" s="148"/>
      <c r="Q14" s="148"/>
      <c r="R14" s="2"/>
      <c r="S14" s="2"/>
      <c r="T14" s="2"/>
      <c r="U14" s="2"/>
      <c r="V14" s="2"/>
      <c r="W14" s="2"/>
      <c r="X14" s="2"/>
      <c r="Y14" s="2"/>
    </row>
    <row r="15" spans="1:25" s="66" customFormat="1" ht="25.5" customHeight="1" x14ac:dyDescent="0.2">
      <c r="A15" s="124" t="s">
        <v>0</v>
      </c>
      <c r="B15" s="228" t="s">
        <v>3</v>
      </c>
      <c r="C15" s="228"/>
      <c r="D15" s="123"/>
      <c r="E15" s="229" t="s">
        <v>74</v>
      </c>
      <c r="F15" s="230"/>
      <c r="G15" s="123"/>
      <c r="H15" s="231" t="s">
        <v>73</v>
      </c>
      <c r="I15" s="232"/>
      <c r="J15" s="233"/>
      <c r="L15" s="145" t="s">
        <v>276</v>
      </c>
      <c r="M15" s="144" t="s">
        <v>278</v>
      </c>
      <c r="N15" s="149" t="s">
        <v>277</v>
      </c>
      <c r="O15" s="149" t="s">
        <v>279</v>
      </c>
      <c r="P15" s="149" t="s">
        <v>280</v>
      </c>
      <c r="Q15" s="149" t="s">
        <v>281</v>
      </c>
      <c r="R15" s="147" t="s">
        <v>219</v>
      </c>
      <c r="S15" s="147" t="s">
        <v>275</v>
      </c>
      <c r="T15" s="147"/>
      <c r="U15" s="147"/>
      <c r="V15" s="147"/>
      <c r="W15" s="147"/>
      <c r="X15" s="68"/>
      <c r="Y15" s="68"/>
    </row>
    <row r="16" spans="1:25" s="66" customFormat="1" ht="25.5" customHeight="1" x14ac:dyDescent="0.2">
      <c r="A16" s="67" t="str">
        <f>IF(Q16="","",SUMIFS(Kassenbuch!J:J,Kassenbuch!U:U,'Buchungsblatt Aufwand'!Q16))</f>
        <v/>
      </c>
      <c r="B16" s="224" t="str">
        <f>S16</f>
        <v/>
      </c>
      <c r="C16" s="225"/>
      <c r="D16" s="24"/>
      <c r="E16" s="226" t="str">
        <f>R16</f>
        <v/>
      </c>
      <c r="F16" s="225"/>
      <c r="G16" s="68"/>
      <c r="H16" s="227" t="str">
        <f>IF(E16="","",VLOOKUP($E16,SaKoAufwandBuchungsblatt,3,FALSE))</f>
        <v/>
      </c>
      <c r="I16" s="227"/>
      <c r="J16" s="227"/>
      <c r="L16" s="147">
        <v>1</v>
      </c>
      <c r="M16" s="150" t="str">
        <f>IFERROR(SMALL(Kassenbuch!U$20:U$68,'Buchungsblatt Aufwand'!L16),"")</f>
        <v/>
      </c>
      <c r="N16" s="147">
        <f>MATCH(M16,M$16:M$64,0)</f>
        <v>1</v>
      </c>
      <c r="O16" s="147">
        <f>IFERROR(VLOOKUP(L16,N16:N64,1,FALSE),"")</f>
        <v>1</v>
      </c>
      <c r="P16" s="68">
        <f>IFERROR(SMALL(O$16:O$64,L16),"")</f>
        <v>1</v>
      </c>
      <c r="Q16" s="151" t="str">
        <f>IFERROR(VLOOKUP(P16,L$16:M$64,2,FALSE),"")</f>
        <v/>
      </c>
      <c r="R16" s="147" t="str">
        <f>IF(Q16="","",VLOOKUP(LEFT(Q16,3)*1,SaKo!J:K,2,FALSE))</f>
        <v/>
      </c>
      <c r="S16" s="147" t="str">
        <f>IF(Q16="","",IF(MID(Q16,4,1)*1=9,CONCATENATE(MID(Q16,5,LEN(Q16)-4),"U"),MID(Q16,5,LEN(Q16)-4)))</f>
        <v/>
      </c>
      <c r="T16" s="147"/>
      <c r="U16" s="147"/>
      <c r="V16" s="147"/>
      <c r="W16" s="147"/>
      <c r="X16" s="68"/>
      <c r="Y16" s="68"/>
    </row>
    <row r="17" spans="1:25" s="66" customFormat="1" ht="25.5" customHeight="1" x14ac:dyDescent="0.2">
      <c r="A17" s="67" t="str">
        <f>IF(Q17="","",SUMIFS(Kassenbuch!J:J,Kassenbuch!U:U,'Buchungsblatt Aufwand'!Q17))</f>
        <v/>
      </c>
      <c r="B17" s="224" t="str">
        <f t="shared" ref="B17:B31" si="0">S17</f>
        <v/>
      </c>
      <c r="C17" s="225"/>
      <c r="D17" s="23"/>
      <c r="E17" s="226" t="str">
        <f t="shared" ref="E17:E31" si="1">R17</f>
        <v/>
      </c>
      <c r="F17" s="225"/>
      <c r="G17" s="24"/>
      <c r="H17" s="227" t="str">
        <f t="shared" ref="H17:H31" si="2">IF(E17="","",VLOOKUP($E17,SaKoAufwandBuchungsblatt,3,FALSE))</f>
        <v/>
      </c>
      <c r="I17" s="227"/>
      <c r="J17" s="227"/>
      <c r="L17" s="147">
        <v>2</v>
      </c>
      <c r="M17" s="150" t="str">
        <f>IFERROR(SMALL(Kassenbuch!U$20:U$68,'Buchungsblatt Aufwand'!L17),"")</f>
        <v/>
      </c>
      <c r="N17" s="147">
        <f t="shared" ref="N17:N64" si="3">MATCH(M17,M$16:M$64,0)</f>
        <v>1</v>
      </c>
      <c r="O17" s="147" t="str">
        <f t="shared" ref="O17:O64" si="4">IFERROR(VLOOKUP(L17,N17:N65,1,FALSE),"")</f>
        <v/>
      </c>
      <c r="P17" s="68" t="str">
        <f t="shared" ref="P17:P64" si="5">IFERROR(SMALL(O$16:O$64,L17),"")</f>
        <v/>
      </c>
      <c r="Q17" s="151" t="str">
        <f t="shared" ref="Q17:Q64" si="6">IFERROR(VLOOKUP(P17,L$16:M$64,2,FALSE),"")</f>
        <v/>
      </c>
      <c r="R17" s="147" t="str">
        <f>IF(Q17="","",VLOOKUP(LEFT(Q17,3)*1,SaKo!J:K,2,FALSE))</f>
        <v/>
      </c>
      <c r="S17" s="147" t="str">
        <f t="shared" ref="S17:S64" si="7">IF(Q17="","",IF(MID(Q17,4,1)*1=9,CONCATENATE(MID(Q17,5,LEN(Q17)-4),"U"),MID(Q17,5,LEN(Q17)-4)))</f>
        <v/>
      </c>
      <c r="T17" s="68"/>
      <c r="U17" s="68"/>
      <c r="V17" s="68"/>
      <c r="W17" s="68"/>
      <c r="X17" s="68"/>
      <c r="Y17" s="68"/>
    </row>
    <row r="18" spans="1:25" s="66" customFormat="1" ht="25.5" customHeight="1" x14ac:dyDescent="0.2">
      <c r="A18" s="67" t="str">
        <f>IF(Q18="","",SUMIFS(Kassenbuch!J:J,Kassenbuch!U:U,'Buchungsblatt Aufwand'!Q18))</f>
        <v/>
      </c>
      <c r="B18" s="224" t="str">
        <f t="shared" si="0"/>
        <v/>
      </c>
      <c r="C18" s="225"/>
      <c r="D18" s="23"/>
      <c r="E18" s="226" t="str">
        <f t="shared" si="1"/>
        <v/>
      </c>
      <c r="F18" s="225"/>
      <c r="G18" s="24"/>
      <c r="H18" s="227" t="str">
        <f t="shared" si="2"/>
        <v/>
      </c>
      <c r="I18" s="227"/>
      <c r="J18" s="227"/>
      <c r="L18" s="147">
        <v>3</v>
      </c>
      <c r="M18" s="150" t="str">
        <f>IFERROR(SMALL(Kassenbuch!U$20:U$68,'Buchungsblatt Aufwand'!L18),"")</f>
        <v/>
      </c>
      <c r="N18" s="147">
        <f t="shared" si="3"/>
        <v>1</v>
      </c>
      <c r="O18" s="147" t="str">
        <f t="shared" si="4"/>
        <v/>
      </c>
      <c r="P18" s="68" t="str">
        <f t="shared" si="5"/>
        <v/>
      </c>
      <c r="Q18" s="151" t="str">
        <f t="shared" si="6"/>
        <v/>
      </c>
      <c r="R18" s="147" t="str">
        <f>IF(Q18="","",VLOOKUP(LEFT(Q18,3)*1,SaKo!J:K,2,FALSE))</f>
        <v/>
      </c>
      <c r="S18" s="147" t="str">
        <f t="shared" si="7"/>
        <v/>
      </c>
      <c r="T18" s="68"/>
      <c r="U18" s="68"/>
      <c r="V18" s="68"/>
      <c r="W18" s="68"/>
      <c r="X18" s="68"/>
      <c r="Y18" s="68"/>
    </row>
    <row r="19" spans="1:25" s="66" customFormat="1" ht="25.5" customHeight="1" x14ac:dyDescent="0.2">
      <c r="A19" s="67" t="str">
        <f>IF(Q19="","",SUMIFS(Kassenbuch!J:J,Kassenbuch!U:U,'Buchungsblatt Aufwand'!Q19))</f>
        <v/>
      </c>
      <c r="B19" s="224" t="str">
        <f t="shared" si="0"/>
        <v/>
      </c>
      <c r="C19" s="225"/>
      <c r="D19" s="23"/>
      <c r="E19" s="226" t="str">
        <f t="shared" si="1"/>
        <v/>
      </c>
      <c r="F19" s="225"/>
      <c r="G19" s="24"/>
      <c r="H19" s="227" t="str">
        <f t="shared" si="2"/>
        <v/>
      </c>
      <c r="I19" s="227"/>
      <c r="J19" s="227"/>
      <c r="L19" s="147">
        <v>4</v>
      </c>
      <c r="M19" s="150" t="str">
        <f>IFERROR(SMALL(Kassenbuch!U$20:U$68,'Buchungsblatt Aufwand'!L19),"")</f>
        <v/>
      </c>
      <c r="N19" s="147">
        <f t="shared" si="3"/>
        <v>1</v>
      </c>
      <c r="O19" s="147" t="str">
        <f t="shared" si="4"/>
        <v/>
      </c>
      <c r="P19" s="68" t="str">
        <f t="shared" si="5"/>
        <v/>
      </c>
      <c r="Q19" s="151" t="str">
        <f t="shared" si="6"/>
        <v/>
      </c>
      <c r="R19" s="147" t="str">
        <f>IF(Q19="","",VLOOKUP(LEFT(Q19,3)*1,SaKo!J:K,2,FALSE))</f>
        <v/>
      </c>
      <c r="S19" s="147" t="str">
        <f t="shared" si="7"/>
        <v/>
      </c>
      <c r="T19" s="68"/>
      <c r="U19" s="68"/>
      <c r="V19" s="68"/>
      <c r="W19" s="68"/>
      <c r="X19" s="68"/>
      <c r="Y19" s="68"/>
    </row>
    <row r="20" spans="1:25" s="66" customFormat="1" ht="25.5" customHeight="1" x14ac:dyDescent="0.2">
      <c r="A20" s="67" t="str">
        <f>IF(Q20="","",SUMIFS(Kassenbuch!J:J,Kassenbuch!U:U,'Buchungsblatt Aufwand'!Q20))</f>
        <v/>
      </c>
      <c r="B20" s="224" t="str">
        <f t="shared" si="0"/>
        <v/>
      </c>
      <c r="C20" s="225"/>
      <c r="D20" s="23"/>
      <c r="E20" s="226" t="str">
        <f t="shared" si="1"/>
        <v/>
      </c>
      <c r="F20" s="225"/>
      <c r="G20" s="24"/>
      <c r="H20" s="227" t="str">
        <f t="shared" si="2"/>
        <v/>
      </c>
      <c r="I20" s="227"/>
      <c r="J20" s="227"/>
      <c r="L20" s="147">
        <v>5</v>
      </c>
      <c r="M20" s="150" t="str">
        <f>IFERROR(SMALL(Kassenbuch!U$20:U$68,'Buchungsblatt Aufwand'!L20),"")</f>
        <v/>
      </c>
      <c r="N20" s="147">
        <f t="shared" si="3"/>
        <v>1</v>
      </c>
      <c r="O20" s="147" t="str">
        <f t="shared" si="4"/>
        <v/>
      </c>
      <c r="P20" s="68" t="str">
        <f t="shared" si="5"/>
        <v/>
      </c>
      <c r="Q20" s="151" t="str">
        <f t="shared" si="6"/>
        <v/>
      </c>
      <c r="R20" s="147" t="str">
        <f>IF(Q20="","",VLOOKUP(LEFT(Q20,3)*1,SaKo!J:K,2,FALSE))</f>
        <v/>
      </c>
      <c r="S20" s="147" t="str">
        <f t="shared" si="7"/>
        <v/>
      </c>
      <c r="T20" s="68"/>
      <c r="U20" s="68"/>
      <c r="V20" s="68"/>
      <c r="W20" s="68"/>
      <c r="X20" s="68"/>
      <c r="Y20" s="68"/>
    </row>
    <row r="21" spans="1:25" s="66" customFormat="1" ht="25.5" customHeight="1" x14ac:dyDescent="0.2">
      <c r="A21" s="67" t="str">
        <f>IF(Q21="","",SUMIFS(Kassenbuch!J:J,Kassenbuch!U:U,'Buchungsblatt Aufwand'!Q21))</f>
        <v/>
      </c>
      <c r="B21" s="224" t="str">
        <f t="shared" si="0"/>
        <v/>
      </c>
      <c r="C21" s="225"/>
      <c r="D21" s="23"/>
      <c r="E21" s="226" t="str">
        <f t="shared" si="1"/>
        <v/>
      </c>
      <c r="F21" s="225"/>
      <c r="G21" s="24"/>
      <c r="H21" s="227" t="str">
        <f t="shared" si="2"/>
        <v/>
      </c>
      <c r="I21" s="227"/>
      <c r="J21" s="227"/>
      <c r="L21" s="147">
        <v>6</v>
      </c>
      <c r="M21" s="150" t="str">
        <f>IFERROR(SMALL(Kassenbuch!U$20:U$68,'Buchungsblatt Aufwand'!L21),"")</f>
        <v/>
      </c>
      <c r="N21" s="147">
        <f t="shared" si="3"/>
        <v>1</v>
      </c>
      <c r="O21" s="147" t="str">
        <f t="shared" si="4"/>
        <v/>
      </c>
      <c r="P21" s="68" t="str">
        <f t="shared" si="5"/>
        <v/>
      </c>
      <c r="Q21" s="151" t="str">
        <f t="shared" si="6"/>
        <v/>
      </c>
      <c r="R21" s="147" t="str">
        <f>IF(Q21="","",VLOOKUP(LEFT(Q21,3)*1,SaKo!J:K,2,FALSE))</f>
        <v/>
      </c>
      <c r="S21" s="147" t="str">
        <f t="shared" si="7"/>
        <v/>
      </c>
      <c r="T21" s="68"/>
      <c r="U21" s="68"/>
      <c r="V21" s="68"/>
      <c r="W21" s="68"/>
      <c r="X21" s="68"/>
      <c r="Y21" s="68"/>
    </row>
    <row r="22" spans="1:25" s="66" customFormat="1" ht="25.5" customHeight="1" x14ac:dyDescent="0.2">
      <c r="A22" s="67" t="str">
        <f>IF(Q22="","",SUMIFS(Kassenbuch!J:J,Kassenbuch!U:U,'Buchungsblatt Aufwand'!Q22))</f>
        <v/>
      </c>
      <c r="B22" s="224" t="str">
        <f t="shared" si="0"/>
        <v/>
      </c>
      <c r="C22" s="225"/>
      <c r="D22" s="23"/>
      <c r="E22" s="226" t="str">
        <f t="shared" si="1"/>
        <v/>
      </c>
      <c r="F22" s="225"/>
      <c r="G22" s="24"/>
      <c r="H22" s="227" t="str">
        <f t="shared" si="2"/>
        <v/>
      </c>
      <c r="I22" s="227"/>
      <c r="J22" s="227"/>
      <c r="L22" s="147">
        <v>7</v>
      </c>
      <c r="M22" s="150" t="str">
        <f>IFERROR(SMALL(Kassenbuch!U$20:U$68,'Buchungsblatt Aufwand'!L22),"")</f>
        <v/>
      </c>
      <c r="N22" s="147">
        <f t="shared" si="3"/>
        <v>1</v>
      </c>
      <c r="O22" s="147" t="str">
        <f t="shared" si="4"/>
        <v/>
      </c>
      <c r="P22" s="68" t="str">
        <f t="shared" si="5"/>
        <v/>
      </c>
      <c r="Q22" s="151" t="str">
        <f t="shared" si="6"/>
        <v/>
      </c>
      <c r="R22" s="147" t="str">
        <f>IF(Q22="","",VLOOKUP(LEFT(Q22,3)*1,SaKo!J:K,2,FALSE))</f>
        <v/>
      </c>
      <c r="S22" s="147" t="str">
        <f t="shared" si="7"/>
        <v/>
      </c>
      <c r="T22" s="68"/>
      <c r="U22" s="68"/>
      <c r="V22" s="68"/>
      <c r="W22" s="68"/>
      <c r="X22" s="68"/>
      <c r="Y22" s="68"/>
    </row>
    <row r="23" spans="1:25" s="66" customFormat="1" ht="25.5" customHeight="1" x14ac:dyDescent="0.2">
      <c r="A23" s="67" t="str">
        <f>IF(Q23="","",SUMIFS(Kassenbuch!J:J,Kassenbuch!U:U,'Buchungsblatt Aufwand'!Q23))</f>
        <v/>
      </c>
      <c r="B23" s="224" t="str">
        <f t="shared" si="0"/>
        <v/>
      </c>
      <c r="C23" s="225"/>
      <c r="D23" s="23"/>
      <c r="E23" s="226" t="str">
        <f t="shared" si="1"/>
        <v/>
      </c>
      <c r="F23" s="225"/>
      <c r="G23" s="24"/>
      <c r="H23" s="227" t="str">
        <f t="shared" si="2"/>
        <v/>
      </c>
      <c r="I23" s="227"/>
      <c r="J23" s="227"/>
      <c r="L23" s="147">
        <v>8</v>
      </c>
      <c r="M23" s="150" t="str">
        <f>IFERROR(SMALL(Kassenbuch!U$20:U$68,'Buchungsblatt Aufwand'!L23),"")</f>
        <v/>
      </c>
      <c r="N23" s="147">
        <f t="shared" si="3"/>
        <v>1</v>
      </c>
      <c r="O23" s="147" t="str">
        <f t="shared" si="4"/>
        <v/>
      </c>
      <c r="P23" s="68" t="str">
        <f t="shared" si="5"/>
        <v/>
      </c>
      <c r="Q23" s="151" t="str">
        <f t="shared" si="6"/>
        <v/>
      </c>
      <c r="R23" s="147" t="str">
        <f>IF(Q23="","",VLOOKUP(LEFT(Q23,3)*1,SaKo!J:K,2,FALSE))</f>
        <v/>
      </c>
      <c r="S23" s="147" t="str">
        <f t="shared" si="7"/>
        <v/>
      </c>
      <c r="T23" s="68"/>
      <c r="U23" s="68"/>
      <c r="V23" s="68"/>
      <c r="W23" s="68"/>
      <c r="X23" s="68"/>
      <c r="Y23" s="68"/>
    </row>
    <row r="24" spans="1:25" s="66" customFormat="1" ht="25.5" customHeight="1" x14ac:dyDescent="0.2">
      <c r="A24" s="67" t="str">
        <f>IF(Q24="","",SUMIFS(Kassenbuch!J:J,Kassenbuch!U:U,'Buchungsblatt Aufwand'!Q24))</f>
        <v/>
      </c>
      <c r="B24" s="224" t="str">
        <f t="shared" si="0"/>
        <v/>
      </c>
      <c r="C24" s="225"/>
      <c r="D24" s="23"/>
      <c r="E24" s="226" t="str">
        <f t="shared" si="1"/>
        <v/>
      </c>
      <c r="F24" s="225"/>
      <c r="G24" s="24"/>
      <c r="H24" s="227" t="str">
        <f t="shared" si="2"/>
        <v/>
      </c>
      <c r="I24" s="227"/>
      <c r="J24" s="227"/>
      <c r="L24" s="147">
        <v>9</v>
      </c>
      <c r="M24" s="150" t="str">
        <f>IFERROR(SMALL(Kassenbuch!U$20:U$68,'Buchungsblatt Aufwand'!L24),"")</f>
        <v/>
      </c>
      <c r="N24" s="147">
        <f t="shared" si="3"/>
        <v>1</v>
      </c>
      <c r="O24" s="147" t="str">
        <f t="shared" si="4"/>
        <v/>
      </c>
      <c r="P24" s="68" t="str">
        <f t="shared" si="5"/>
        <v/>
      </c>
      <c r="Q24" s="151" t="str">
        <f t="shared" si="6"/>
        <v/>
      </c>
      <c r="R24" s="147" t="str">
        <f>IF(Q24="","",VLOOKUP(LEFT(Q24,3)*1,SaKo!J:K,2,FALSE))</f>
        <v/>
      </c>
      <c r="S24" s="147" t="str">
        <f t="shared" si="7"/>
        <v/>
      </c>
      <c r="T24" s="68"/>
      <c r="U24" s="68"/>
      <c r="V24" s="68"/>
      <c r="W24" s="68"/>
      <c r="X24" s="68"/>
      <c r="Y24" s="68"/>
    </row>
    <row r="25" spans="1:25" s="66" customFormat="1" ht="25.5" customHeight="1" x14ac:dyDescent="0.2">
      <c r="A25" s="67" t="str">
        <f>IF(Q25="","",SUMIFS(Kassenbuch!J:J,Kassenbuch!U:U,'Buchungsblatt Aufwand'!Q25))</f>
        <v/>
      </c>
      <c r="B25" s="224" t="str">
        <f t="shared" si="0"/>
        <v/>
      </c>
      <c r="C25" s="225"/>
      <c r="D25" s="23"/>
      <c r="E25" s="226" t="str">
        <f t="shared" si="1"/>
        <v/>
      </c>
      <c r="F25" s="225"/>
      <c r="G25" s="24"/>
      <c r="H25" s="227" t="str">
        <f t="shared" si="2"/>
        <v/>
      </c>
      <c r="I25" s="227"/>
      <c r="J25" s="227"/>
      <c r="L25" s="147">
        <v>10</v>
      </c>
      <c r="M25" s="150" t="str">
        <f>IFERROR(SMALL(Kassenbuch!U$20:U$68,'Buchungsblatt Aufwand'!L25),"")</f>
        <v/>
      </c>
      <c r="N25" s="147">
        <f t="shared" si="3"/>
        <v>1</v>
      </c>
      <c r="O25" s="147" t="str">
        <f t="shared" si="4"/>
        <v/>
      </c>
      <c r="P25" s="68" t="str">
        <f t="shared" si="5"/>
        <v/>
      </c>
      <c r="Q25" s="151" t="str">
        <f t="shared" si="6"/>
        <v/>
      </c>
      <c r="R25" s="147" t="str">
        <f>IF(Q25="","",VLOOKUP(LEFT(Q25,3)*1,SaKo!J:K,2,FALSE))</f>
        <v/>
      </c>
      <c r="S25" s="147" t="str">
        <f t="shared" si="7"/>
        <v/>
      </c>
      <c r="T25" s="68"/>
      <c r="U25" s="68"/>
      <c r="V25" s="68"/>
      <c r="W25" s="68"/>
      <c r="X25" s="68"/>
      <c r="Y25" s="68"/>
    </row>
    <row r="26" spans="1:25" s="66" customFormat="1" ht="25.5" customHeight="1" x14ac:dyDescent="0.2">
      <c r="A26" s="67" t="str">
        <f>IF(Q26="","",SUMIFS(Kassenbuch!J:J,Kassenbuch!U:U,'Buchungsblatt Aufwand'!Q26))</f>
        <v/>
      </c>
      <c r="B26" s="224" t="str">
        <f t="shared" si="0"/>
        <v/>
      </c>
      <c r="C26" s="225"/>
      <c r="D26" s="23"/>
      <c r="E26" s="226" t="str">
        <f t="shared" si="1"/>
        <v/>
      </c>
      <c r="F26" s="225"/>
      <c r="G26" s="24"/>
      <c r="H26" s="227" t="str">
        <f t="shared" si="2"/>
        <v/>
      </c>
      <c r="I26" s="227"/>
      <c r="J26" s="227"/>
      <c r="L26" s="147">
        <v>11</v>
      </c>
      <c r="M26" s="150" t="str">
        <f>IFERROR(SMALL(Kassenbuch!U$20:U$68,'Buchungsblatt Aufwand'!L26),"")</f>
        <v/>
      </c>
      <c r="N26" s="147">
        <f t="shared" si="3"/>
        <v>1</v>
      </c>
      <c r="O26" s="147" t="str">
        <f t="shared" si="4"/>
        <v/>
      </c>
      <c r="P26" s="68" t="str">
        <f t="shared" si="5"/>
        <v/>
      </c>
      <c r="Q26" s="151" t="str">
        <f t="shared" si="6"/>
        <v/>
      </c>
      <c r="R26" s="147" t="str">
        <f>IF(Q26="","",VLOOKUP(LEFT(Q26,3)*1,SaKo!J:K,2,FALSE))</f>
        <v/>
      </c>
      <c r="S26" s="147" t="str">
        <f t="shared" si="7"/>
        <v/>
      </c>
      <c r="T26" s="68"/>
      <c r="U26" s="68"/>
      <c r="V26" s="68"/>
      <c r="W26" s="68"/>
      <c r="X26" s="68"/>
      <c r="Y26" s="68"/>
    </row>
    <row r="27" spans="1:25" s="66" customFormat="1" ht="25.5" customHeight="1" x14ac:dyDescent="0.2">
      <c r="A27" s="67" t="str">
        <f>IF(Q27="","",SUMIFS(Kassenbuch!J:J,Kassenbuch!U:U,'Buchungsblatt Aufwand'!Q27))</f>
        <v/>
      </c>
      <c r="B27" s="224" t="str">
        <f t="shared" si="0"/>
        <v/>
      </c>
      <c r="C27" s="225"/>
      <c r="D27" s="23"/>
      <c r="E27" s="226" t="str">
        <f t="shared" si="1"/>
        <v/>
      </c>
      <c r="F27" s="225"/>
      <c r="G27" s="24"/>
      <c r="H27" s="227" t="str">
        <f t="shared" si="2"/>
        <v/>
      </c>
      <c r="I27" s="227"/>
      <c r="J27" s="227"/>
      <c r="L27" s="147">
        <v>12</v>
      </c>
      <c r="M27" s="150" t="str">
        <f>IFERROR(SMALL(Kassenbuch!U$20:U$68,'Buchungsblatt Aufwand'!L27),"")</f>
        <v/>
      </c>
      <c r="N27" s="147">
        <f t="shared" si="3"/>
        <v>1</v>
      </c>
      <c r="O27" s="147" t="str">
        <f t="shared" si="4"/>
        <v/>
      </c>
      <c r="P27" s="68" t="str">
        <f t="shared" si="5"/>
        <v/>
      </c>
      <c r="Q27" s="151" t="str">
        <f t="shared" si="6"/>
        <v/>
      </c>
      <c r="R27" s="147" t="str">
        <f>IF(Q27="","",VLOOKUP(LEFT(Q27,3)*1,SaKo!J:K,2,FALSE))</f>
        <v/>
      </c>
      <c r="S27" s="147" t="str">
        <f t="shared" si="7"/>
        <v/>
      </c>
      <c r="T27" s="68"/>
      <c r="U27" s="68"/>
      <c r="V27" s="68"/>
      <c r="W27" s="68"/>
      <c r="X27" s="68"/>
      <c r="Y27" s="68"/>
    </row>
    <row r="28" spans="1:25" s="66" customFormat="1" ht="25.5" customHeight="1" x14ac:dyDescent="0.2">
      <c r="A28" s="67" t="str">
        <f>IF(Q28="","",SUMIFS(Kassenbuch!J:J,Kassenbuch!U:U,'Buchungsblatt Aufwand'!Q28))</f>
        <v/>
      </c>
      <c r="B28" s="224" t="str">
        <f t="shared" si="0"/>
        <v/>
      </c>
      <c r="C28" s="225"/>
      <c r="D28" s="23"/>
      <c r="E28" s="226" t="str">
        <f t="shared" si="1"/>
        <v/>
      </c>
      <c r="F28" s="225"/>
      <c r="G28" s="24"/>
      <c r="H28" s="227" t="str">
        <f t="shared" si="2"/>
        <v/>
      </c>
      <c r="I28" s="227"/>
      <c r="J28" s="227"/>
      <c r="L28" s="147">
        <v>13</v>
      </c>
      <c r="M28" s="150" t="str">
        <f>IFERROR(SMALL(Kassenbuch!U$20:U$68,'Buchungsblatt Aufwand'!L28),"")</f>
        <v/>
      </c>
      <c r="N28" s="147">
        <f t="shared" si="3"/>
        <v>1</v>
      </c>
      <c r="O28" s="147" t="str">
        <f t="shared" si="4"/>
        <v/>
      </c>
      <c r="P28" s="68" t="str">
        <f t="shared" si="5"/>
        <v/>
      </c>
      <c r="Q28" s="151" t="str">
        <f t="shared" si="6"/>
        <v/>
      </c>
      <c r="R28" s="147" t="str">
        <f>IF(Q28="","",VLOOKUP(LEFT(Q28,3)*1,SaKo!J:K,2,FALSE))</f>
        <v/>
      </c>
      <c r="S28" s="147" t="str">
        <f t="shared" si="7"/>
        <v/>
      </c>
      <c r="T28" s="68"/>
      <c r="U28" s="68"/>
      <c r="V28" s="68"/>
      <c r="W28" s="68"/>
      <c r="X28" s="68"/>
      <c r="Y28" s="68"/>
    </row>
    <row r="29" spans="1:25" s="66" customFormat="1" ht="25.5" customHeight="1" x14ac:dyDescent="0.2">
      <c r="A29" s="67" t="str">
        <f>IF(Q29="","",SUMIFS(Kassenbuch!J:J,Kassenbuch!U:U,'Buchungsblatt Aufwand'!Q29))</f>
        <v/>
      </c>
      <c r="B29" s="224" t="str">
        <f t="shared" si="0"/>
        <v/>
      </c>
      <c r="C29" s="225"/>
      <c r="D29" s="23"/>
      <c r="E29" s="226" t="str">
        <f t="shared" si="1"/>
        <v/>
      </c>
      <c r="F29" s="225"/>
      <c r="G29" s="24"/>
      <c r="H29" s="227" t="str">
        <f t="shared" si="2"/>
        <v/>
      </c>
      <c r="I29" s="227"/>
      <c r="J29" s="227"/>
      <c r="L29" s="147">
        <v>14</v>
      </c>
      <c r="M29" s="150" t="str">
        <f>IFERROR(SMALL(Kassenbuch!U$20:U$68,'Buchungsblatt Aufwand'!L29),"")</f>
        <v/>
      </c>
      <c r="N29" s="147">
        <f t="shared" si="3"/>
        <v>1</v>
      </c>
      <c r="O29" s="147" t="str">
        <f t="shared" si="4"/>
        <v/>
      </c>
      <c r="P29" s="68" t="str">
        <f t="shared" si="5"/>
        <v/>
      </c>
      <c r="Q29" s="151" t="str">
        <f t="shared" si="6"/>
        <v/>
      </c>
      <c r="R29" s="147" t="str">
        <f>IF(Q29="","",VLOOKUP(LEFT(Q29,3)*1,SaKo!J:K,2,FALSE))</f>
        <v/>
      </c>
      <c r="S29" s="147" t="str">
        <f t="shared" si="7"/>
        <v/>
      </c>
      <c r="T29" s="68"/>
      <c r="U29" s="68"/>
      <c r="V29" s="68"/>
      <c r="W29" s="68"/>
      <c r="X29" s="68"/>
      <c r="Y29" s="68"/>
    </row>
    <row r="30" spans="1:25" s="66" customFormat="1" ht="25.5" customHeight="1" x14ac:dyDescent="0.2">
      <c r="A30" s="67" t="str">
        <f>IF(Q30="","",SUMIFS(Kassenbuch!J:J,Kassenbuch!U:U,'Buchungsblatt Aufwand'!Q30))</f>
        <v/>
      </c>
      <c r="B30" s="224" t="str">
        <f t="shared" si="0"/>
        <v/>
      </c>
      <c r="C30" s="225"/>
      <c r="D30" s="23"/>
      <c r="E30" s="226" t="str">
        <f t="shared" si="1"/>
        <v/>
      </c>
      <c r="F30" s="225"/>
      <c r="G30" s="24"/>
      <c r="H30" s="227" t="str">
        <f t="shared" si="2"/>
        <v/>
      </c>
      <c r="I30" s="227"/>
      <c r="J30" s="227"/>
      <c r="L30" s="147">
        <v>15</v>
      </c>
      <c r="M30" s="150" t="str">
        <f>IFERROR(SMALL(Kassenbuch!U$20:U$68,'Buchungsblatt Aufwand'!L30),"")</f>
        <v/>
      </c>
      <c r="N30" s="147">
        <f t="shared" si="3"/>
        <v>1</v>
      </c>
      <c r="O30" s="147" t="str">
        <f t="shared" si="4"/>
        <v/>
      </c>
      <c r="P30" s="68" t="str">
        <f t="shared" si="5"/>
        <v/>
      </c>
      <c r="Q30" s="151" t="str">
        <f t="shared" si="6"/>
        <v/>
      </c>
      <c r="R30" s="147" t="str">
        <f>IF(Q30="","",VLOOKUP(LEFT(Q30,3)*1,SaKo!J:K,2,FALSE))</f>
        <v/>
      </c>
      <c r="S30" s="147" t="str">
        <f t="shared" si="7"/>
        <v/>
      </c>
      <c r="T30" s="68"/>
      <c r="U30" s="68"/>
      <c r="V30" s="68"/>
      <c r="W30" s="68"/>
      <c r="X30" s="68"/>
      <c r="Y30" s="68"/>
    </row>
    <row r="31" spans="1:25" s="66" customFormat="1" ht="25.5" customHeight="1" x14ac:dyDescent="0.2">
      <c r="A31" s="67" t="str">
        <f>IF(Q31="","",SUMIFS(Kassenbuch!J:J,Kassenbuch!U:U,'Buchungsblatt Aufwand'!Q31))</f>
        <v/>
      </c>
      <c r="B31" s="224" t="str">
        <f t="shared" si="0"/>
        <v/>
      </c>
      <c r="C31" s="225"/>
      <c r="D31" s="23"/>
      <c r="E31" s="226" t="str">
        <f t="shared" si="1"/>
        <v/>
      </c>
      <c r="F31" s="225"/>
      <c r="G31" s="24"/>
      <c r="H31" s="227" t="str">
        <f t="shared" si="2"/>
        <v/>
      </c>
      <c r="I31" s="227"/>
      <c r="J31" s="227"/>
      <c r="L31" s="147">
        <v>16</v>
      </c>
      <c r="M31" s="150" t="str">
        <f>IFERROR(SMALL(Kassenbuch!U$20:U$68,'Buchungsblatt Aufwand'!L31),"")</f>
        <v/>
      </c>
      <c r="N31" s="147">
        <f t="shared" si="3"/>
        <v>1</v>
      </c>
      <c r="O31" s="147" t="str">
        <f t="shared" si="4"/>
        <v/>
      </c>
      <c r="P31" s="68" t="str">
        <f t="shared" si="5"/>
        <v/>
      </c>
      <c r="Q31" s="151" t="str">
        <f t="shared" si="6"/>
        <v/>
      </c>
      <c r="R31" s="147" t="str">
        <f>IF(Q31="","",VLOOKUP(LEFT(Q31,3)*1,SaKo!J:K,2,FALSE))</f>
        <v/>
      </c>
      <c r="S31" s="147" t="str">
        <f t="shared" si="7"/>
        <v/>
      </c>
      <c r="T31" s="68"/>
      <c r="U31" s="68"/>
      <c r="V31" s="68"/>
      <c r="W31" s="68"/>
      <c r="X31" s="68"/>
      <c r="Y31" s="68"/>
    </row>
    <row r="32" spans="1:25" s="66" customFormat="1" ht="25.5" customHeight="1" x14ac:dyDescent="0.2">
      <c r="A32" s="69" t="str">
        <f>IF(A16&lt;&gt;"",SUM(A16:A31),"")</f>
        <v/>
      </c>
      <c r="B32" s="236" t="str">
        <f>IF(A32="","","Gesamtbetrag")</f>
        <v/>
      </c>
      <c r="C32" s="236"/>
      <c r="D32" s="70"/>
      <c r="E32" s="237"/>
      <c r="F32" s="237"/>
      <c r="G32" s="122"/>
      <c r="H32" s="237"/>
      <c r="I32" s="237"/>
      <c r="J32" s="237"/>
      <c r="L32" s="147">
        <v>17</v>
      </c>
      <c r="M32" s="150" t="str">
        <f>IFERROR(SMALL(Kassenbuch!U$20:U$68,'Buchungsblatt Aufwand'!L32),"")</f>
        <v/>
      </c>
      <c r="N32" s="147">
        <f t="shared" si="3"/>
        <v>1</v>
      </c>
      <c r="O32" s="147" t="str">
        <f t="shared" si="4"/>
        <v/>
      </c>
      <c r="P32" s="68" t="str">
        <f t="shared" si="5"/>
        <v/>
      </c>
      <c r="Q32" s="151" t="str">
        <f t="shared" si="6"/>
        <v/>
      </c>
      <c r="R32" s="147" t="str">
        <f>IF(Q32="","",VLOOKUP(LEFT(Q32,3)*1,SaKo!J:K,2,FALSE))</f>
        <v/>
      </c>
      <c r="S32" s="147" t="str">
        <f t="shared" si="7"/>
        <v/>
      </c>
      <c r="T32" s="68"/>
      <c r="U32" s="68"/>
      <c r="V32" s="68"/>
      <c r="W32" s="68"/>
      <c r="X32" s="68"/>
      <c r="Y32" s="68"/>
    </row>
    <row r="33" spans="1:25" s="34" customFormat="1" ht="37.5" customHeight="1" x14ac:dyDescent="0.2">
      <c r="B33" s="234"/>
      <c r="C33" s="234"/>
      <c r="D33" s="1"/>
      <c r="E33" s="234"/>
      <c r="F33" s="234"/>
      <c r="G33" s="234"/>
      <c r="H33" s="234"/>
      <c r="I33" s="234"/>
      <c r="J33" s="234"/>
      <c r="L33" s="147">
        <v>18</v>
      </c>
      <c r="M33" s="150" t="str">
        <f>IFERROR(SMALL(Kassenbuch!U$20:U$68,'Buchungsblatt Aufwand'!L33),"")</f>
        <v/>
      </c>
      <c r="N33" s="147">
        <f t="shared" si="3"/>
        <v>1</v>
      </c>
      <c r="O33" s="147" t="str">
        <f t="shared" si="4"/>
        <v/>
      </c>
      <c r="P33" s="68" t="str">
        <f t="shared" si="5"/>
        <v/>
      </c>
      <c r="Q33" s="151" t="str">
        <f t="shared" si="6"/>
        <v/>
      </c>
      <c r="R33" s="147" t="str">
        <f>IF(Q33="","",VLOOKUP(LEFT(Q33,3)*1,SaKo!J:K,2,FALSE))</f>
        <v/>
      </c>
      <c r="S33" s="147" t="str">
        <f t="shared" si="7"/>
        <v/>
      </c>
      <c r="T33" s="2"/>
      <c r="U33" s="2"/>
      <c r="V33" s="2"/>
      <c r="W33" s="2"/>
      <c r="X33" s="2"/>
      <c r="Y33" s="2"/>
    </row>
    <row r="34" spans="1:25" s="34" customFormat="1" ht="17.25" customHeight="1" x14ac:dyDescent="0.2">
      <c r="A34" s="71" t="s">
        <v>127</v>
      </c>
      <c r="B34" s="234"/>
      <c r="C34" s="234"/>
      <c r="D34" s="234"/>
      <c r="E34" s="234"/>
      <c r="F34" s="235" t="s">
        <v>128</v>
      </c>
      <c r="G34" s="235"/>
      <c r="H34" s="235"/>
      <c r="I34" s="235"/>
      <c r="J34" s="235"/>
      <c r="L34" s="147">
        <v>19</v>
      </c>
      <c r="M34" s="150" t="str">
        <f>IFERROR(SMALL(Kassenbuch!U$20:U$68,'Buchungsblatt Aufwand'!L34),"")</f>
        <v/>
      </c>
      <c r="N34" s="147">
        <f t="shared" si="3"/>
        <v>1</v>
      </c>
      <c r="O34" s="147" t="str">
        <f t="shared" si="4"/>
        <v/>
      </c>
      <c r="P34" s="68" t="str">
        <f t="shared" si="5"/>
        <v/>
      </c>
      <c r="Q34" s="151" t="str">
        <f t="shared" si="6"/>
        <v/>
      </c>
      <c r="R34" s="147" t="str">
        <f>IF(Q34="","",VLOOKUP(LEFT(Q34,3)*1,SaKo!J:K,2,FALSE))</f>
        <v/>
      </c>
      <c r="S34" s="147" t="str">
        <f t="shared" si="7"/>
        <v/>
      </c>
      <c r="T34" s="2"/>
      <c r="U34" s="2"/>
      <c r="V34" s="2"/>
      <c r="W34" s="2"/>
      <c r="X34" s="2"/>
      <c r="Y34" s="2"/>
    </row>
    <row r="35" spans="1:25" ht="15" x14ac:dyDescent="0.2">
      <c r="L35" s="147">
        <v>20</v>
      </c>
      <c r="M35" s="150" t="str">
        <f>IFERROR(SMALL(Kassenbuch!U$20:U$68,'Buchungsblatt Aufwand'!L35),"")</f>
        <v/>
      </c>
      <c r="N35" s="147">
        <f t="shared" si="3"/>
        <v>1</v>
      </c>
      <c r="O35" s="147" t="str">
        <f t="shared" si="4"/>
        <v/>
      </c>
      <c r="P35" s="68" t="str">
        <f t="shared" si="5"/>
        <v/>
      </c>
      <c r="Q35" s="151" t="str">
        <f t="shared" si="6"/>
        <v/>
      </c>
      <c r="R35" s="147" t="str">
        <f>IF(Q35="","",VLOOKUP(LEFT(Q35,3)*1,SaKo!J:K,2,FALSE))</f>
        <v/>
      </c>
      <c r="S35" s="147" t="str">
        <f t="shared" si="7"/>
        <v/>
      </c>
    </row>
    <row r="36" spans="1:25" ht="15" hidden="1" x14ac:dyDescent="0.2">
      <c r="L36" s="147">
        <v>21</v>
      </c>
      <c r="M36" s="150" t="str">
        <f>IFERROR(SMALL(Kassenbuch!U$20:U$68,'Buchungsblatt Aufwand'!L36),"")</f>
        <v/>
      </c>
      <c r="N36" s="147">
        <f t="shared" si="3"/>
        <v>1</v>
      </c>
      <c r="O36" s="147" t="str">
        <f t="shared" si="4"/>
        <v/>
      </c>
      <c r="P36" s="68" t="str">
        <f t="shared" si="5"/>
        <v/>
      </c>
      <c r="Q36" s="151" t="str">
        <f t="shared" si="6"/>
        <v/>
      </c>
      <c r="R36" s="147" t="str">
        <f>IF(Q36="","",VLOOKUP(LEFT(Q36,3)*1,SaKo!J:K,2,FALSE))</f>
        <v/>
      </c>
      <c r="S36" s="147" t="str">
        <f t="shared" si="7"/>
        <v/>
      </c>
    </row>
    <row r="37" spans="1:25" ht="15" hidden="1" x14ac:dyDescent="0.2">
      <c r="A37" s="2">
        <f>IF(A28="",0,1)</f>
        <v>0</v>
      </c>
      <c r="B37" s="2" t="s">
        <v>205</v>
      </c>
      <c r="L37" s="147">
        <v>22</v>
      </c>
      <c r="M37" s="150" t="str">
        <f>IFERROR(SMALL(Kassenbuch!U$20:U$68,'Buchungsblatt Aufwand'!L37),"")</f>
        <v/>
      </c>
      <c r="N37" s="147">
        <f t="shared" si="3"/>
        <v>1</v>
      </c>
      <c r="O37" s="147" t="str">
        <f t="shared" si="4"/>
        <v/>
      </c>
      <c r="P37" s="68" t="str">
        <f t="shared" si="5"/>
        <v/>
      </c>
      <c r="Q37" s="151" t="str">
        <f t="shared" si="6"/>
        <v/>
      </c>
      <c r="R37" s="147" t="str">
        <f>IF(Q37="","",VLOOKUP(LEFT(Q37,3)*1,SaKo!J:K,2,FALSE))</f>
        <v/>
      </c>
      <c r="S37" s="147" t="str">
        <f t="shared" si="7"/>
        <v/>
      </c>
    </row>
    <row r="38" spans="1:25" ht="15" hidden="1" x14ac:dyDescent="0.2">
      <c r="A38" s="2">
        <f>IF(A31="",0,1)</f>
        <v>0</v>
      </c>
      <c r="B38" s="2" t="s">
        <v>205</v>
      </c>
      <c r="L38" s="147">
        <v>23</v>
      </c>
      <c r="M38" s="150" t="str">
        <f>IFERROR(SMALL(Kassenbuch!U$20:U$68,'Buchungsblatt Aufwand'!L38),"")</f>
        <v/>
      </c>
      <c r="N38" s="147">
        <f t="shared" si="3"/>
        <v>1</v>
      </c>
      <c r="O38" s="147" t="str">
        <f t="shared" si="4"/>
        <v/>
      </c>
      <c r="P38" s="68" t="str">
        <f t="shared" si="5"/>
        <v/>
      </c>
      <c r="Q38" s="151" t="str">
        <f t="shared" si="6"/>
        <v/>
      </c>
      <c r="R38" s="147" t="str">
        <f>IF(Q38="","",VLOOKUP(LEFT(Q38,3)*1,SaKo!J:K,2,FALSE))</f>
        <v/>
      </c>
      <c r="S38" s="147" t="str">
        <f t="shared" si="7"/>
        <v/>
      </c>
    </row>
    <row r="39" spans="1:25" ht="15" x14ac:dyDescent="0.2">
      <c r="L39" s="147">
        <v>24</v>
      </c>
      <c r="M39" s="150" t="str">
        <f>IFERROR(SMALL(Kassenbuch!U$20:U$68,'Buchungsblatt Aufwand'!L39),"")</f>
        <v/>
      </c>
      <c r="N39" s="147">
        <f t="shared" si="3"/>
        <v>1</v>
      </c>
      <c r="O39" s="147" t="str">
        <f t="shared" si="4"/>
        <v/>
      </c>
      <c r="P39" s="68" t="str">
        <f t="shared" si="5"/>
        <v/>
      </c>
      <c r="Q39" s="151" t="str">
        <f t="shared" si="6"/>
        <v/>
      </c>
      <c r="R39" s="147" t="str">
        <f>IF(Q39="","",VLOOKUP(LEFT(Q39,3)*1,SaKo!J:K,2,FALSE))</f>
        <v/>
      </c>
      <c r="S39" s="147" t="str">
        <f t="shared" si="7"/>
        <v/>
      </c>
    </row>
    <row r="40" spans="1:25" ht="15" x14ac:dyDescent="0.2">
      <c r="L40" s="147">
        <v>25</v>
      </c>
      <c r="M40" s="150" t="str">
        <f>IFERROR(SMALL(Kassenbuch!U$20:U$68,'Buchungsblatt Aufwand'!L40),"")</f>
        <v/>
      </c>
      <c r="N40" s="147">
        <f t="shared" si="3"/>
        <v>1</v>
      </c>
      <c r="O40" s="147" t="str">
        <f t="shared" si="4"/>
        <v/>
      </c>
      <c r="P40" s="68" t="str">
        <f t="shared" si="5"/>
        <v/>
      </c>
      <c r="Q40" s="151" t="str">
        <f t="shared" si="6"/>
        <v/>
      </c>
      <c r="R40" s="147" t="str">
        <f>IF(Q40="","",VLOOKUP(LEFT(Q40,3)*1,SaKo!J:K,2,FALSE))</f>
        <v/>
      </c>
      <c r="S40" s="147" t="str">
        <f t="shared" si="7"/>
        <v/>
      </c>
    </row>
    <row r="41" spans="1:25" ht="15" x14ac:dyDescent="0.2">
      <c r="L41" s="147">
        <v>26</v>
      </c>
      <c r="M41" s="150" t="str">
        <f>IFERROR(SMALL(Kassenbuch!U$20:U$68,'Buchungsblatt Aufwand'!L41),"")</f>
        <v/>
      </c>
      <c r="N41" s="147">
        <f t="shared" si="3"/>
        <v>1</v>
      </c>
      <c r="O41" s="147" t="str">
        <f t="shared" si="4"/>
        <v/>
      </c>
      <c r="P41" s="68" t="str">
        <f t="shared" si="5"/>
        <v/>
      </c>
      <c r="Q41" s="151" t="str">
        <f t="shared" si="6"/>
        <v/>
      </c>
      <c r="R41" s="147" t="str">
        <f>IF(Q41="","",VLOOKUP(LEFT(Q41,3)*1,SaKo!J:K,2,FALSE))</f>
        <v/>
      </c>
      <c r="S41" s="147" t="str">
        <f t="shared" si="7"/>
        <v/>
      </c>
    </row>
    <row r="42" spans="1:25" ht="15" x14ac:dyDescent="0.2">
      <c r="L42" s="147">
        <v>27</v>
      </c>
      <c r="M42" s="150" t="str">
        <f>IFERROR(SMALL(Kassenbuch!U$20:U$68,'Buchungsblatt Aufwand'!L42),"")</f>
        <v/>
      </c>
      <c r="N42" s="147">
        <f t="shared" si="3"/>
        <v>1</v>
      </c>
      <c r="O42" s="147" t="str">
        <f t="shared" si="4"/>
        <v/>
      </c>
      <c r="P42" s="68" t="str">
        <f t="shared" si="5"/>
        <v/>
      </c>
      <c r="Q42" s="151" t="str">
        <f t="shared" si="6"/>
        <v/>
      </c>
      <c r="R42" s="147" t="str">
        <f>IF(Q42="","",VLOOKUP(LEFT(Q42,3)*1,SaKo!J:K,2,FALSE))</f>
        <v/>
      </c>
      <c r="S42" s="147" t="str">
        <f t="shared" si="7"/>
        <v/>
      </c>
    </row>
    <row r="43" spans="1:25" ht="15" x14ac:dyDescent="0.2">
      <c r="L43" s="147">
        <v>28</v>
      </c>
      <c r="M43" s="150" t="str">
        <f>IFERROR(SMALL(Kassenbuch!U$20:U$68,'Buchungsblatt Aufwand'!L43),"")</f>
        <v/>
      </c>
      <c r="N43" s="147">
        <f t="shared" si="3"/>
        <v>1</v>
      </c>
      <c r="O43" s="147" t="str">
        <f t="shared" si="4"/>
        <v/>
      </c>
      <c r="P43" s="68" t="str">
        <f t="shared" si="5"/>
        <v/>
      </c>
      <c r="Q43" s="151" t="str">
        <f t="shared" si="6"/>
        <v/>
      </c>
      <c r="R43" s="147" t="str">
        <f>IF(Q43="","",VLOOKUP(LEFT(Q43,3)*1,SaKo!J:K,2,FALSE))</f>
        <v/>
      </c>
      <c r="S43" s="147" t="str">
        <f t="shared" si="7"/>
        <v/>
      </c>
    </row>
    <row r="44" spans="1:25" ht="15" x14ac:dyDescent="0.2">
      <c r="L44" s="147">
        <v>29</v>
      </c>
      <c r="M44" s="150" t="str">
        <f>IFERROR(SMALL(Kassenbuch!U$20:U$68,'Buchungsblatt Aufwand'!L44),"")</f>
        <v/>
      </c>
      <c r="N44" s="147">
        <f t="shared" si="3"/>
        <v>1</v>
      </c>
      <c r="O44" s="147" t="str">
        <f t="shared" si="4"/>
        <v/>
      </c>
      <c r="P44" s="68" t="str">
        <f t="shared" si="5"/>
        <v/>
      </c>
      <c r="Q44" s="151" t="str">
        <f t="shared" si="6"/>
        <v/>
      </c>
      <c r="R44" s="147" t="str">
        <f>IF(Q44="","",VLOOKUP(LEFT(Q44,3)*1,SaKo!J:K,2,FALSE))</f>
        <v/>
      </c>
      <c r="S44" s="147" t="str">
        <f t="shared" si="7"/>
        <v/>
      </c>
    </row>
    <row r="45" spans="1:25" ht="15" x14ac:dyDescent="0.2">
      <c r="L45" s="147">
        <v>30</v>
      </c>
      <c r="M45" s="150" t="str">
        <f>IFERROR(SMALL(Kassenbuch!U$20:U$68,'Buchungsblatt Aufwand'!L45),"")</f>
        <v/>
      </c>
      <c r="N45" s="147">
        <f t="shared" si="3"/>
        <v>1</v>
      </c>
      <c r="O45" s="147" t="str">
        <f t="shared" si="4"/>
        <v/>
      </c>
      <c r="P45" s="68" t="str">
        <f t="shared" si="5"/>
        <v/>
      </c>
      <c r="Q45" s="151" t="str">
        <f t="shared" si="6"/>
        <v/>
      </c>
      <c r="R45" s="147" t="str">
        <f>IF(Q45="","",VLOOKUP(LEFT(Q45,3)*1,SaKo!J:K,2,FALSE))</f>
        <v/>
      </c>
      <c r="S45" s="147" t="str">
        <f t="shared" si="7"/>
        <v/>
      </c>
    </row>
    <row r="46" spans="1:25" ht="15" x14ac:dyDescent="0.2">
      <c r="L46" s="147">
        <v>31</v>
      </c>
      <c r="M46" s="150" t="str">
        <f>IFERROR(SMALL(Kassenbuch!U$20:U$68,'Buchungsblatt Aufwand'!L46),"")</f>
        <v/>
      </c>
      <c r="N46" s="147">
        <f t="shared" si="3"/>
        <v>1</v>
      </c>
      <c r="O46" s="147" t="str">
        <f t="shared" si="4"/>
        <v/>
      </c>
      <c r="P46" s="68" t="str">
        <f t="shared" si="5"/>
        <v/>
      </c>
      <c r="Q46" s="151" t="str">
        <f t="shared" si="6"/>
        <v/>
      </c>
      <c r="R46" s="147" t="str">
        <f>IF(Q46="","",VLOOKUP(LEFT(Q46,3)*1,SaKo!J:K,2,FALSE))</f>
        <v/>
      </c>
      <c r="S46" s="147" t="str">
        <f t="shared" si="7"/>
        <v/>
      </c>
    </row>
    <row r="47" spans="1:25" ht="15" x14ac:dyDescent="0.2">
      <c r="L47" s="147">
        <v>32</v>
      </c>
      <c r="M47" s="150" t="str">
        <f>IFERROR(SMALL(Kassenbuch!U$20:U$68,'Buchungsblatt Aufwand'!L47),"")</f>
        <v/>
      </c>
      <c r="N47" s="147">
        <f t="shared" si="3"/>
        <v>1</v>
      </c>
      <c r="O47" s="147" t="str">
        <f t="shared" si="4"/>
        <v/>
      </c>
      <c r="P47" s="68" t="str">
        <f t="shared" si="5"/>
        <v/>
      </c>
      <c r="Q47" s="151" t="str">
        <f t="shared" si="6"/>
        <v/>
      </c>
      <c r="R47" s="147" t="str">
        <f>IF(Q47="","",VLOOKUP(LEFT(Q47,3)*1,SaKo!J:K,2,FALSE))</f>
        <v/>
      </c>
      <c r="S47" s="147" t="str">
        <f t="shared" si="7"/>
        <v/>
      </c>
    </row>
    <row r="48" spans="1:25" ht="15" x14ac:dyDescent="0.2">
      <c r="L48" s="147">
        <v>33</v>
      </c>
      <c r="M48" s="150" t="str">
        <f>IFERROR(SMALL(Kassenbuch!U$20:U$68,'Buchungsblatt Aufwand'!L48),"")</f>
        <v/>
      </c>
      <c r="N48" s="147">
        <f t="shared" si="3"/>
        <v>1</v>
      </c>
      <c r="O48" s="147" t="str">
        <f t="shared" si="4"/>
        <v/>
      </c>
      <c r="P48" s="68" t="str">
        <f t="shared" si="5"/>
        <v/>
      </c>
      <c r="Q48" s="151" t="str">
        <f t="shared" si="6"/>
        <v/>
      </c>
      <c r="R48" s="147" t="str">
        <f>IF(Q48="","",VLOOKUP(LEFT(Q48,3)*1,SaKo!J:K,2,FALSE))</f>
        <v/>
      </c>
      <c r="S48" s="147" t="str">
        <f t="shared" si="7"/>
        <v/>
      </c>
    </row>
    <row r="49" spans="12:19" ht="15" x14ac:dyDescent="0.2">
      <c r="L49" s="147">
        <v>34</v>
      </c>
      <c r="M49" s="150" t="str">
        <f>IFERROR(SMALL(Kassenbuch!U$20:U$68,'Buchungsblatt Aufwand'!L49),"")</f>
        <v/>
      </c>
      <c r="N49" s="147">
        <f t="shared" si="3"/>
        <v>1</v>
      </c>
      <c r="O49" s="147" t="str">
        <f t="shared" si="4"/>
        <v/>
      </c>
      <c r="P49" s="68" t="str">
        <f t="shared" si="5"/>
        <v/>
      </c>
      <c r="Q49" s="151" t="str">
        <f t="shared" si="6"/>
        <v/>
      </c>
      <c r="R49" s="147" t="str">
        <f>IF(Q49="","",VLOOKUP(LEFT(Q49,3)*1,SaKo!J:K,2,FALSE))</f>
        <v/>
      </c>
      <c r="S49" s="147" t="str">
        <f t="shared" si="7"/>
        <v/>
      </c>
    </row>
    <row r="50" spans="12:19" ht="15" x14ac:dyDescent="0.2">
      <c r="L50" s="147">
        <v>35</v>
      </c>
      <c r="M50" s="150" t="str">
        <f>IFERROR(SMALL(Kassenbuch!U$20:U$68,'Buchungsblatt Aufwand'!L50),"")</f>
        <v/>
      </c>
      <c r="N50" s="147">
        <f t="shared" si="3"/>
        <v>1</v>
      </c>
      <c r="O50" s="147" t="str">
        <f t="shared" si="4"/>
        <v/>
      </c>
      <c r="P50" s="68" t="str">
        <f t="shared" si="5"/>
        <v/>
      </c>
      <c r="Q50" s="151" t="str">
        <f t="shared" si="6"/>
        <v/>
      </c>
      <c r="R50" s="147" t="str">
        <f>IF(Q50="","",VLOOKUP(LEFT(Q50,3)*1,SaKo!J:K,2,FALSE))</f>
        <v/>
      </c>
      <c r="S50" s="147" t="str">
        <f t="shared" si="7"/>
        <v/>
      </c>
    </row>
    <row r="51" spans="12:19" ht="15" x14ac:dyDescent="0.2">
      <c r="L51" s="147">
        <v>36</v>
      </c>
      <c r="M51" s="150" t="str">
        <f>IFERROR(SMALL(Kassenbuch!U$20:U$68,'Buchungsblatt Aufwand'!L51),"")</f>
        <v/>
      </c>
      <c r="N51" s="147">
        <f t="shared" si="3"/>
        <v>1</v>
      </c>
      <c r="O51" s="147" t="str">
        <f t="shared" si="4"/>
        <v/>
      </c>
      <c r="P51" s="68" t="str">
        <f t="shared" si="5"/>
        <v/>
      </c>
      <c r="Q51" s="151" t="str">
        <f t="shared" si="6"/>
        <v/>
      </c>
      <c r="R51" s="147" t="str">
        <f>IF(Q51="","",VLOOKUP(LEFT(Q51,3)*1,SaKo!J:K,2,FALSE))</f>
        <v/>
      </c>
      <c r="S51" s="147" t="str">
        <f t="shared" si="7"/>
        <v/>
      </c>
    </row>
    <row r="52" spans="12:19" ht="15" x14ac:dyDescent="0.2">
      <c r="L52" s="147">
        <v>37</v>
      </c>
      <c r="M52" s="150" t="str">
        <f>IFERROR(SMALL(Kassenbuch!U$20:U$68,'Buchungsblatt Aufwand'!L52),"")</f>
        <v/>
      </c>
      <c r="N52" s="147">
        <f t="shared" si="3"/>
        <v>1</v>
      </c>
      <c r="O52" s="147" t="str">
        <f t="shared" si="4"/>
        <v/>
      </c>
      <c r="P52" s="68" t="str">
        <f t="shared" si="5"/>
        <v/>
      </c>
      <c r="Q52" s="151" t="str">
        <f t="shared" si="6"/>
        <v/>
      </c>
      <c r="R52" s="147" t="str">
        <f>IF(Q52="","",VLOOKUP(LEFT(Q52,3)*1,SaKo!J:K,2,FALSE))</f>
        <v/>
      </c>
      <c r="S52" s="147" t="str">
        <f t="shared" si="7"/>
        <v/>
      </c>
    </row>
    <row r="53" spans="12:19" ht="15" x14ac:dyDescent="0.2">
      <c r="L53" s="147">
        <v>38</v>
      </c>
      <c r="M53" s="150" t="str">
        <f>IFERROR(SMALL(Kassenbuch!U$20:U$68,'Buchungsblatt Aufwand'!L53),"")</f>
        <v/>
      </c>
      <c r="N53" s="147">
        <f t="shared" si="3"/>
        <v>1</v>
      </c>
      <c r="O53" s="147" t="str">
        <f t="shared" si="4"/>
        <v/>
      </c>
      <c r="P53" s="68" t="str">
        <f t="shared" si="5"/>
        <v/>
      </c>
      <c r="Q53" s="151" t="str">
        <f t="shared" si="6"/>
        <v/>
      </c>
      <c r="R53" s="147" t="str">
        <f>IF(Q53="","",VLOOKUP(LEFT(Q53,3)*1,SaKo!J:K,2,FALSE))</f>
        <v/>
      </c>
      <c r="S53" s="147" t="str">
        <f t="shared" si="7"/>
        <v/>
      </c>
    </row>
    <row r="54" spans="12:19" ht="15" x14ac:dyDescent="0.2">
      <c r="L54" s="147">
        <v>39</v>
      </c>
      <c r="M54" s="150" t="str">
        <f>IFERROR(SMALL(Kassenbuch!U$20:U$68,'Buchungsblatt Aufwand'!L54),"")</f>
        <v/>
      </c>
      <c r="N54" s="147">
        <f t="shared" si="3"/>
        <v>1</v>
      </c>
      <c r="O54" s="147" t="str">
        <f t="shared" si="4"/>
        <v/>
      </c>
      <c r="P54" s="68" t="str">
        <f t="shared" si="5"/>
        <v/>
      </c>
      <c r="Q54" s="151" t="str">
        <f t="shared" si="6"/>
        <v/>
      </c>
      <c r="R54" s="147" t="str">
        <f>IF(Q54="","",VLOOKUP(LEFT(Q54,3)*1,SaKo!J:K,2,FALSE))</f>
        <v/>
      </c>
      <c r="S54" s="147" t="str">
        <f t="shared" si="7"/>
        <v/>
      </c>
    </row>
    <row r="55" spans="12:19" ht="15" x14ac:dyDescent="0.2">
      <c r="L55" s="147">
        <v>40</v>
      </c>
      <c r="M55" s="150" t="str">
        <f>IFERROR(SMALL(Kassenbuch!U$20:U$68,'Buchungsblatt Aufwand'!L55),"")</f>
        <v/>
      </c>
      <c r="N55" s="147">
        <f t="shared" si="3"/>
        <v>1</v>
      </c>
      <c r="O55" s="147" t="str">
        <f t="shared" si="4"/>
        <v/>
      </c>
      <c r="P55" s="68" t="str">
        <f t="shared" si="5"/>
        <v/>
      </c>
      <c r="Q55" s="151" t="str">
        <f t="shared" si="6"/>
        <v/>
      </c>
      <c r="R55" s="147" t="str">
        <f>IF(Q55="","",VLOOKUP(LEFT(Q55,3)*1,SaKo!J:K,2,FALSE))</f>
        <v/>
      </c>
      <c r="S55" s="147" t="str">
        <f t="shared" si="7"/>
        <v/>
      </c>
    </row>
    <row r="56" spans="12:19" ht="15" x14ac:dyDescent="0.2">
      <c r="L56" s="147">
        <v>41</v>
      </c>
      <c r="M56" s="150" t="str">
        <f>IFERROR(SMALL(Kassenbuch!U$20:U$68,'Buchungsblatt Aufwand'!L56),"")</f>
        <v/>
      </c>
      <c r="N56" s="147">
        <f t="shared" si="3"/>
        <v>1</v>
      </c>
      <c r="O56" s="147" t="str">
        <f t="shared" si="4"/>
        <v/>
      </c>
      <c r="P56" s="68" t="str">
        <f t="shared" si="5"/>
        <v/>
      </c>
      <c r="Q56" s="151" t="str">
        <f t="shared" si="6"/>
        <v/>
      </c>
      <c r="R56" s="147" t="str">
        <f>IF(Q56="","",VLOOKUP(LEFT(Q56,3)*1,SaKo!J:K,2,FALSE))</f>
        <v/>
      </c>
      <c r="S56" s="147" t="str">
        <f t="shared" si="7"/>
        <v/>
      </c>
    </row>
    <row r="57" spans="12:19" ht="15" x14ac:dyDescent="0.2">
      <c r="L57" s="147">
        <v>42</v>
      </c>
      <c r="M57" s="150" t="str">
        <f>IFERROR(SMALL(Kassenbuch!U$20:U$68,'Buchungsblatt Aufwand'!L57),"")</f>
        <v/>
      </c>
      <c r="N57" s="147">
        <f t="shared" si="3"/>
        <v>1</v>
      </c>
      <c r="O57" s="147" t="str">
        <f t="shared" si="4"/>
        <v/>
      </c>
      <c r="P57" s="68" t="str">
        <f t="shared" si="5"/>
        <v/>
      </c>
      <c r="Q57" s="151" t="str">
        <f t="shared" si="6"/>
        <v/>
      </c>
      <c r="R57" s="147" t="str">
        <f>IF(Q57="","",VLOOKUP(LEFT(Q57,3)*1,SaKo!J:K,2,FALSE))</f>
        <v/>
      </c>
      <c r="S57" s="147" t="str">
        <f t="shared" si="7"/>
        <v/>
      </c>
    </row>
    <row r="58" spans="12:19" ht="15" x14ac:dyDescent="0.2">
      <c r="L58" s="147">
        <v>43</v>
      </c>
      <c r="M58" s="150" t="str">
        <f>IFERROR(SMALL(Kassenbuch!U$20:U$68,'Buchungsblatt Aufwand'!L58),"")</f>
        <v/>
      </c>
      <c r="N58" s="147">
        <f t="shared" si="3"/>
        <v>1</v>
      </c>
      <c r="O58" s="147" t="str">
        <f t="shared" si="4"/>
        <v/>
      </c>
      <c r="P58" s="68" t="str">
        <f t="shared" si="5"/>
        <v/>
      </c>
      <c r="Q58" s="151" t="str">
        <f t="shared" si="6"/>
        <v/>
      </c>
      <c r="R58" s="147" t="str">
        <f>IF(Q58="","",VLOOKUP(LEFT(Q58,3)*1,SaKo!J:K,2,FALSE))</f>
        <v/>
      </c>
      <c r="S58" s="147" t="str">
        <f t="shared" si="7"/>
        <v/>
      </c>
    </row>
    <row r="59" spans="12:19" ht="15" x14ac:dyDescent="0.2">
      <c r="L59" s="147">
        <v>44</v>
      </c>
      <c r="M59" s="150" t="str">
        <f>IFERROR(SMALL(Kassenbuch!U$20:U$68,'Buchungsblatt Aufwand'!L59),"")</f>
        <v/>
      </c>
      <c r="N59" s="147">
        <f t="shared" si="3"/>
        <v>1</v>
      </c>
      <c r="O59" s="147" t="str">
        <f t="shared" si="4"/>
        <v/>
      </c>
      <c r="P59" s="68" t="str">
        <f t="shared" si="5"/>
        <v/>
      </c>
      <c r="Q59" s="151" t="str">
        <f t="shared" si="6"/>
        <v/>
      </c>
      <c r="R59" s="147" t="str">
        <f>IF(Q59="","",VLOOKUP(LEFT(Q59,3)*1,SaKo!J:K,2,FALSE))</f>
        <v/>
      </c>
      <c r="S59" s="147" t="str">
        <f t="shared" si="7"/>
        <v/>
      </c>
    </row>
    <row r="60" spans="12:19" ht="15" x14ac:dyDescent="0.2">
      <c r="L60" s="147">
        <v>45</v>
      </c>
      <c r="M60" s="150" t="str">
        <f>IFERROR(SMALL(Kassenbuch!U$20:U$68,'Buchungsblatt Aufwand'!L60),"")</f>
        <v/>
      </c>
      <c r="N60" s="147">
        <f t="shared" si="3"/>
        <v>1</v>
      </c>
      <c r="O60" s="147" t="str">
        <f t="shared" si="4"/>
        <v/>
      </c>
      <c r="P60" s="68" t="str">
        <f t="shared" si="5"/>
        <v/>
      </c>
      <c r="Q60" s="151" t="str">
        <f t="shared" si="6"/>
        <v/>
      </c>
      <c r="R60" s="147" t="str">
        <f>IF(Q60="","",VLOOKUP(LEFT(Q60,3)*1,SaKo!J:K,2,FALSE))</f>
        <v/>
      </c>
      <c r="S60" s="147" t="str">
        <f t="shared" si="7"/>
        <v/>
      </c>
    </row>
    <row r="61" spans="12:19" ht="15" x14ac:dyDescent="0.2">
      <c r="L61" s="147">
        <v>46</v>
      </c>
      <c r="M61" s="150" t="str">
        <f>IFERROR(SMALL(Kassenbuch!U$20:U$68,'Buchungsblatt Aufwand'!L61),"")</f>
        <v/>
      </c>
      <c r="N61" s="147">
        <f t="shared" si="3"/>
        <v>1</v>
      </c>
      <c r="O61" s="147" t="str">
        <f t="shared" si="4"/>
        <v/>
      </c>
      <c r="P61" s="68" t="str">
        <f t="shared" si="5"/>
        <v/>
      </c>
      <c r="Q61" s="151" t="str">
        <f t="shared" si="6"/>
        <v/>
      </c>
      <c r="R61" s="147" t="str">
        <f>IF(Q61="","",VLOOKUP(LEFT(Q61,3)*1,SaKo!J:K,2,FALSE))</f>
        <v/>
      </c>
      <c r="S61" s="147" t="str">
        <f t="shared" si="7"/>
        <v/>
      </c>
    </row>
    <row r="62" spans="12:19" ht="15" x14ac:dyDescent="0.2">
      <c r="L62" s="147">
        <v>47</v>
      </c>
      <c r="M62" s="150" t="str">
        <f>IFERROR(SMALL(Kassenbuch!U$20:U$68,'Buchungsblatt Aufwand'!L62),"")</f>
        <v/>
      </c>
      <c r="N62" s="147">
        <f t="shared" si="3"/>
        <v>1</v>
      </c>
      <c r="O62" s="147" t="str">
        <f t="shared" si="4"/>
        <v/>
      </c>
      <c r="P62" s="68" t="str">
        <f t="shared" si="5"/>
        <v/>
      </c>
      <c r="Q62" s="151" t="str">
        <f t="shared" si="6"/>
        <v/>
      </c>
      <c r="R62" s="147" t="str">
        <f>IF(Q62="","",VLOOKUP(LEFT(Q62,3)*1,SaKo!J:K,2,FALSE))</f>
        <v/>
      </c>
      <c r="S62" s="147" t="str">
        <f t="shared" si="7"/>
        <v/>
      </c>
    </row>
    <row r="63" spans="12:19" ht="15" x14ac:dyDescent="0.2">
      <c r="L63" s="147">
        <v>48</v>
      </c>
      <c r="M63" s="150" t="str">
        <f>IFERROR(SMALL(Kassenbuch!U$20:U$68,'Buchungsblatt Aufwand'!L63),"")</f>
        <v/>
      </c>
      <c r="N63" s="147">
        <f t="shared" si="3"/>
        <v>1</v>
      </c>
      <c r="O63" s="147" t="str">
        <f t="shared" si="4"/>
        <v/>
      </c>
      <c r="P63" s="68" t="str">
        <f t="shared" si="5"/>
        <v/>
      </c>
      <c r="Q63" s="151" t="str">
        <f t="shared" si="6"/>
        <v/>
      </c>
      <c r="R63" s="147" t="str">
        <f>IF(Q63="","",VLOOKUP(LEFT(Q63,3)*1,SaKo!J:K,2,FALSE))</f>
        <v/>
      </c>
      <c r="S63" s="147" t="str">
        <f t="shared" si="7"/>
        <v/>
      </c>
    </row>
    <row r="64" spans="12:19" ht="15" x14ac:dyDescent="0.2">
      <c r="L64" s="147">
        <v>49</v>
      </c>
      <c r="M64" s="150" t="str">
        <f>IFERROR(SMALL(Kassenbuch!U$20:U$68,'Buchungsblatt Aufwand'!L64),"")</f>
        <v/>
      </c>
      <c r="N64" s="147">
        <f t="shared" si="3"/>
        <v>1</v>
      </c>
      <c r="O64" s="147" t="str">
        <f t="shared" si="4"/>
        <v/>
      </c>
      <c r="P64" s="68" t="str">
        <f t="shared" si="5"/>
        <v/>
      </c>
      <c r="Q64" s="151" t="str">
        <f t="shared" si="6"/>
        <v/>
      </c>
      <c r="R64" s="147" t="str">
        <f>IF(Q64="","",VLOOKUP(LEFT(Q64,3)*1,SaKo!J:K,2,FALSE))</f>
        <v/>
      </c>
      <c r="S64" s="147" t="str">
        <f t="shared" si="7"/>
        <v/>
      </c>
    </row>
    <row r="65" spans="17:18" ht="15" x14ac:dyDescent="0.2">
      <c r="Q65" s="119"/>
      <c r="R65" s="147" t="str">
        <f>IF(Q65="","",VLOOKUP(LEFT(Q65,3)*1,SaKo!J:K,2,FALSE))</f>
        <v/>
      </c>
    </row>
  </sheetData>
  <sheetProtection algorithmName="SHA-512" hashValue="cSieZplRR8Ed+fEgvwlePCOfRCr/P+1LifcwIvUIB2tgbLULyWvFkp+8h197NahLPH/jub/WEq5im4pNkKWKVQ==" saltValue="OV90lWu84tiNEAGG1ZXRoQ==" spinCount="100000" sheet="1" objects="1" scenarios="1" selectLockedCells="1"/>
  <mergeCells count="68">
    <mergeCell ref="H22:J22"/>
    <mergeCell ref="H23:J23"/>
    <mergeCell ref="B31:C31"/>
    <mergeCell ref="E31:F31"/>
    <mergeCell ref="B32:C32"/>
    <mergeCell ref="E32:F32"/>
    <mergeCell ref="H32:J32"/>
    <mergeCell ref="H30:J30"/>
    <mergeCell ref="H31:J31"/>
    <mergeCell ref="H24:J24"/>
    <mergeCell ref="H25:J25"/>
    <mergeCell ref="H26:J26"/>
    <mergeCell ref="H27:J27"/>
    <mergeCell ref="H28:J28"/>
    <mergeCell ref="H29:J29"/>
    <mergeCell ref="B29:C29"/>
    <mergeCell ref="H17:J17"/>
    <mergeCell ref="H18:J18"/>
    <mergeCell ref="H19:J19"/>
    <mergeCell ref="H20:J20"/>
    <mergeCell ref="H21:J21"/>
    <mergeCell ref="E29:F29"/>
    <mergeCell ref="B30:C30"/>
    <mergeCell ref="E30:F30"/>
    <mergeCell ref="B34:E34"/>
    <mergeCell ref="F34:J34"/>
    <mergeCell ref="B33:C33"/>
    <mergeCell ref="E33:J33"/>
    <mergeCell ref="B26:C26"/>
    <mergeCell ref="E26:F26"/>
    <mergeCell ref="B27:C27"/>
    <mergeCell ref="E27:F27"/>
    <mergeCell ref="B28:C28"/>
    <mergeCell ref="E28:F28"/>
    <mergeCell ref="B23:C23"/>
    <mergeCell ref="E23:F23"/>
    <mergeCell ref="B24:C24"/>
    <mergeCell ref="E24:F24"/>
    <mergeCell ref="B25:C25"/>
    <mergeCell ref="E25:F25"/>
    <mergeCell ref="B20:C20"/>
    <mergeCell ref="E20:F20"/>
    <mergeCell ref="B21:C21"/>
    <mergeCell ref="E21:F21"/>
    <mergeCell ref="B22:C22"/>
    <mergeCell ref="E22:F22"/>
    <mergeCell ref="B17:C17"/>
    <mergeCell ref="E17:F17"/>
    <mergeCell ref="B18:C18"/>
    <mergeCell ref="E18:F18"/>
    <mergeCell ref="B19:C19"/>
    <mergeCell ref="E19:F19"/>
    <mergeCell ref="L14:M14"/>
    <mergeCell ref="B16:C16"/>
    <mergeCell ref="E16:F16"/>
    <mergeCell ref="H16:J16"/>
    <mergeCell ref="B15:C15"/>
    <mergeCell ref="E15:F15"/>
    <mergeCell ref="H15:J15"/>
    <mergeCell ref="B10:I10"/>
    <mergeCell ref="D11:E11"/>
    <mergeCell ref="G11:H11"/>
    <mergeCell ref="B2:E4"/>
    <mergeCell ref="I2:J4"/>
    <mergeCell ref="B5:J5"/>
    <mergeCell ref="B8:I8"/>
    <mergeCell ref="B9:C9"/>
    <mergeCell ref="E9:J9"/>
  </mergeCells>
  <pageMargins left="0.59055118110236227" right="0.27559055118110237" top="0.35433070866141736" bottom="0.39370078740157483" header="0.19685039370078741" footer="0.15748031496062992"/>
  <pageSetup paperSize="9" scale="99" orientation="portrait" blackAndWhite="1" r:id="rId1"/>
  <headerFooter>
    <oddFooter>&amp;L&amp;"Calibri,Standard"&amp;8&amp;K01+041Stand: &amp;D&amp;R&amp;"Calibri,Standard"&amp;8&amp;K01+041Version 3.9-PNCA - Januar 2026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795"/>
    <pageSetUpPr fitToPage="1"/>
  </sheetPr>
  <dimension ref="A2:Z65"/>
  <sheetViews>
    <sheetView showGridLines="0" zoomScaleNormal="100" workbookViewId="0">
      <selection activeCell="Y17" sqref="Y17"/>
    </sheetView>
  </sheetViews>
  <sheetFormatPr baseColWidth="10" defaultColWidth="11.42578125" defaultRowHeight="12.75" x14ac:dyDescent="0.2"/>
  <cols>
    <col min="1" max="1" width="20.7109375" style="2" customWidth="1"/>
    <col min="2" max="3" width="8" style="2" customWidth="1"/>
    <col min="4" max="4" width="0.85546875" style="2" customWidth="1"/>
    <col min="5" max="7" width="8" style="2" customWidth="1"/>
    <col min="8" max="8" width="0.85546875" style="2" customWidth="1"/>
    <col min="9" max="10" width="8" style="2" customWidth="1"/>
    <col min="11" max="11" width="26.42578125" style="2" customWidth="1"/>
    <col min="12" max="12" width="2.7109375" style="2" customWidth="1"/>
    <col min="13" max="13" width="14.5703125" style="3" hidden="1" customWidth="1"/>
    <col min="14" max="14" width="23.28515625" style="2" hidden="1" customWidth="1"/>
    <col min="15" max="15" width="31.28515625" style="2" hidden="1" customWidth="1"/>
    <col min="16" max="16" width="32.140625" style="2" hidden="1" customWidth="1"/>
    <col min="17" max="17" width="21.140625" style="2" hidden="1" customWidth="1"/>
    <col min="18" max="18" width="26" style="2" hidden="1" customWidth="1"/>
    <col min="19" max="19" width="11.42578125" style="2" hidden="1" customWidth="1"/>
    <col min="20" max="20" width="18.42578125" style="2" hidden="1" customWidth="1"/>
    <col min="21" max="16384" width="11.42578125" style="2"/>
  </cols>
  <sheetData>
    <row r="2" spans="1:26" ht="12.75" customHeight="1" x14ac:dyDescent="0.2">
      <c r="B2" s="218" t="s">
        <v>9</v>
      </c>
      <c r="C2" s="218"/>
      <c r="D2" s="218"/>
      <c r="E2" s="218"/>
      <c r="I2" s="129"/>
      <c r="J2" s="202" t="str">
        <f>IF(Kassenbuch!$M$2="","",VLOOKUP(Kassenbuch!$M$2,RT!$A$2:$G$500,5,FALSE))</f>
        <v/>
      </c>
      <c r="K2" s="202"/>
    </row>
    <row r="3" spans="1:26" ht="12.75" customHeight="1" x14ac:dyDescent="0.2">
      <c r="B3" s="218"/>
      <c r="C3" s="218"/>
      <c r="D3" s="218"/>
      <c r="E3" s="218"/>
      <c r="F3" s="129"/>
      <c r="G3" s="129"/>
      <c r="H3" s="129"/>
      <c r="I3" s="129"/>
      <c r="J3" s="202"/>
      <c r="K3" s="202"/>
    </row>
    <row r="4" spans="1:26" ht="12.75" customHeight="1" x14ac:dyDescent="0.2">
      <c r="B4" s="218"/>
      <c r="C4" s="218"/>
      <c r="D4" s="218"/>
      <c r="E4" s="218"/>
      <c r="F4" s="129"/>
      <c r="G4" s="129"/>
      <c r="H4" s="129"/>
      <c r="I4" s="129"/>
      <c r="J4" s="202"/>
      <c r="K4" s="202"/>
    </row>
    <row r="5" spans="1:26" ht="21.75" customHeight="1" x14ac:dyDescent="0.2">
      <c r="B5" s="215" t="str">
        <f>IF(Kassenbuch!$M$2="","",VLOOKUP(Kassenbuch!$M$2,RT!$A$2:$G$500,2,FALSE))</f>
        <v/>
      </c>
      <c r="C5" s="215"/>
      <c r="D5" s="215"/>
      <c r="E5" s="215"/>
      <c r="F5" s="215"/>
      <c r="G5" s="215"/>
      <c r="H5" s="215"/>
      <c r="I5" s="215"/>
      <c r="J5" s="215"/>
      <c r="K5" s="215"/>
    </row>
    <row r="6" spans="1:26" s="112" customFormat="1" ht="10.5" customHeight="1" x14ac:dyDescent="0.2">
      <c r="C6" s="130"/>
      <c r="D6" s="130"/>
      <c r="M6" s="79"/>
    </row>
    <row r="7" spans="1:26" s="34" customFormat="1" ht="30" customHeight="1" x14ac:dyDescent="0.2">
      <c r="B7" s="130" t="s">
        <v>31</v>
      </c>
      <c r="M7" s="3"/>
      <c r="N7" s="2"/>
      <c r="O7" s="2"/>
      <c r="P7" s="2"/>
      <c r="Q7" s="2"/>
      <c r="R7" s="2"/>
      <c r="S7" s="2"/>
      <c r="T7" s="2"/>
      <c r="U7" s="2"/>
      <c r="V7" s="2"/>
      <c r="W7" s="2"/>
      <c r="X7" s="2"/>
      <c r="Y7" s="2"/>
      <c r="Z7" s="2"/>
    </row>
    <row r="8" spans="1:26" s="14" customFormat="1" ht="29.25" customHeight="1" x14ac:dyDescent="0.2">
      <c r="A8" s="131"/>
      <c r="B8" s="219"/>
      <c r="C8" s="219"/>
      <c r="D8" s="219"/>
      <c r="E8" s="219"/>
      <c r="F8" s="219"/>
      <c r="G8" s="219"/>
      <c r="H8" s="219"/>
      <c r="I8" s="219"/>
      <c r="J8" s="219"/>
      <c r="K8" s="132"/>
      <c r="M8" s="79"/>
      <c r="N8" s="112"/>
      <c r="O8" s="112"/>
      <c r="P8" s="112"/>
      <c r="Q8" s="112"/>
      <c r="R8" s="112"/>
      <c r="S8" s="112"/>
      <c r="T8" s="112"/>
      <c r="U8" s="112"/>
      <c r="V8" s="112"/>
      <c r="W8" s="112"/>
      <c r="X8" s="112"/>
      <c r="Y8" s="112"/>
      <c r="Z8" s="112"/>
    </row>
    <row r="9" spans="1:26" s="14" customFormat="1" ht="30" customHeight="1" x14ac:dyDescent="0.2">
      <c r="A9" s="133" t="s">
        <v>32</v>
      </c>
      <c r="B9" s="220" t="str">
        <f>IF(Kassenbuch!$M$2&lt;&gt;"","HK "&amp;VLOOKUP(Kassenbuch!$M$2,RT!$A$2:$G$500,4,FALSE),"")</f>
        <v/>
      </c>
      <c r="C9" s="220"/>
      <c r="D9" s="134"/>
      <c r="E9" s="238" t="str">
        <f>IF(Kassenbuch!$M$2&lt;&gt;"",VLOOKUP(Kassenbuch!$M$2,RT!$A$2:$G$500,2,FALSE),"")</f>
        <v/>
      </c>
      <c r="F9" s="238"/>
      <c r="G9" s="238"/>
      <c r="H9" s="238"/>
      <c r="I9" s="238"/>
      <c r="J9" s="238"/>
      <c r="K9" s="238"/>
      <c r="M9" s="79"/>
      <c r="N9" s="112"/>
      <c r="O9" s="112"/>
      <c r="P9" s="112"/>
      <c r="Q9" s="112"/>
      <c r="R9" s="112"/>
      <c r="S9" s="112"/>
      <c r="T9" s="112"/>
      <c r="U9" s="112"/>
      <c r="V9" s="112"/>
      <c r="W9" s="112"/>
      <c r="X9" s="112"/>
      <c r="Y9" s="112"/>
      <c r="Z9" s="112"/>
    </row>
    <row r="10" spans="1:26" s="34" customFormat="1" ht="30" customHeight="1" x14ac:dyDescent="0.2">
      <c r="A10" s="61" t="s">
        <v>2</v>
      </c>
      <c r="B10" s="239" t="str">
        <f>IF('Buchungsblatt Aufwand'!B10:I10&lt;&gt;"",'Buchungsblatt Aufwand'!B10:I10,"")</f>
        <v/>
      </c>
      <c r="C10" s="239"/>
      <c r="D10" s="239"/>
      <c r="E10" s="239"/>
      <c r="F10" s="239"/>
      <c r="G10" s="239"/>
      <c r="H10" s="239"/>
      <c r="I10" s="239"/>
      <c r="J10" s="240"/>
      <c r="K10" s="63"/>
      <c r="M10" s="3"/>
      <c r="N10" s="2"/>
      <c r="O10" s="2"/>
      <c r="P10" s="2"/>
      <c r="Q10" s="2"/>
      <c r="R10" s="2"/>
      <c r="S10" s="2"/>
      <c r="T10" s="2"/>
      <c r="U10" s="2"/>
      <c r="V10" s="2"/>
      <c r="W10" s="2"/>
      <c r="X10" s="2"/>
      <c r="Y10" s="2"/>
      <c r="Z10" s="2"/>
    </row>
    <row r="11" spans="1:26" s="34" customFormat="1" ht="25.5" customHeight="1" x14ac:dyDescent="0.25">
      <c r="A11" s="135" t="s">
        <v>1</v>
      </c>
      <c r="B11" s="187" t="str">
        <f>IF('Buchungsblatt Aufwand'!B11&lt;&gt;"",'Buchungsblatt Aufwand'!B11,"")</f>
        <v/>
      </c>
      <c r="C11" s="187" t="str">
        <f>IF('Buchungsblatt Aufwand'!C11&lt;&gt;"",'Buchungsblatt Aufwand'!C11,"")</f>
        <v/>
      </c>
      <c r="D11" s="241" t="str">
        <f>IF('Buchungsblatt Aufwand'!D11:E11&lt;&gt;"",'Buchungsblatt Aufwand'!D11:E11,"")</f>
        <v/>
      </c>
      <c r="E11" s="241"/>
      <c r="F11" s="187" t="str">
        <f>IF('Buchungsblatt Aufwand'!F11&lt;&gt;"",'Buchungsblatt Aufwand'!F11,"")</f>
        <v/>
      </c>
      <c r="G11" s="187" t="str">
        <f>IF('Buchungsblatt Aufwand'!G11:H11&lt;&gt;"",'Buchungsblatt Aufwand'!G11:H11,"")</f>
        <v/>
      </c>
      <c r="H11" s="241" t="str">
        <f>IF('Buchungsblatt Aufwand'!I11&lt;&gt;"",'Buchungsblatt Aufwand'!I11,"")</f>
        <v/>
      </c>
      <c r="I11" s="241"/>
      <c r="J11" s="184"/>
      <c r="K11" s="60"/>
      <c r="L11" s="1"/>
      <c r="M11" s="3"/>
      <c r="N11" s="2"/>
      <c r="O11" s="2"/>
      <c r="P11" s="2"/>
      <c r="Q11" s="2"/>
      <c r="R11" s="2"/>
      <c r="S11" s="2"/>
      <c r="T11" s="2"/>
      <c r="U11" s="2"/>
      <c r="V11" s="2"/>
      <c r="W11" s="2"/>
      <c r="X11" s="2"/>
      <c r="Y11" s="2"/>
      <c r="Z11" s="2"/>
    </row>
    <row r="12" spans="1:26" s="34" customFormat="1" ht="4.5" customHeight="1" x14ac:dyDescent="0.2">
      <c r="A12" s="55"/>
      <c r="B12" s="188"/>
      <c r="C12" s="189"/>
      <c r="D12" s="190"/>
      <c r="E12" s="191"/>
      <c r="F12" s="189"/>
      <c r="G12" s="190"/>
      <c r="H12" s="190"/>
      <c r="I12" s="192"/>
      <c r="J12" s="185"/>
      <c r="K12" s="60"/>
      <c r="L12" s="1"/>
      <c r="M12" s="3"/>
      <c r="N12" s="2"/>
      <c r="O12" s="2"/>
      <c r="P12" s="2"/>
      <c r="Q12" s="2"/>
      <c r="R12" s="2"/>
      <c r="S12" s="2"/>
      <c r="T12" s="2"/>
      <c r="U12" s="2"/>
      <c r="V12" s="2"/>
      <c r="W12" s="2"/>
      <c r="X12" s="2"/>
      <c r="Y12" s="2"/>
      <c r="Z12" s="2"/>
    </row>
    <row r="13" spans="1:26" s="34" customFormat="1" ht="14.25" customHeight="1" x14ac:dyDescent="0.2">
      <c r="A13" s="61"/>
      <c r="B13" s="62"/>
      <c r="C13" s="62"/>
      <c r="D13" s="62"/>
      <c r="E13" s="62"/>
      <c r="F13" s="62"/>
      <c r="G13" s="62"/>
      <c r="H13" s="62"/>
      <c r="I13" s="62"/>
      <c r="J13" s="186"/>
      <c r="K13" s="63"/>
      <c r="M13" s="3"/>
      <c r="N13" s="2"/>
      <c r="O13" s="2"/>
      <c r="P13" s="2"/>
      <c r="Q13" s="2"/>
      <c r="R13" s="2"/>
      <c r="S13" s="2"/>
      <c r="T13" s="2"/>
      <c r="U13" s="2"/>
      <c r="V13" s="2"/>
      <c r="W13" s="2"/>
      <c r="X13" s="2"/>
      <c r="Y13" s="2"/>
      <c r="Z13" s="2"/>
    </row>
    <row r="14" spans="1:26" s="34" customFormat="1" ht="40.5" customHeight="1" x14ac:dyDescent="0.2">
      <c r="A14" s="64" t="s">
        <v>78</v>
      </c>
      <c r="B14" s="65"/>
      <c r="C14" s="65"/>
      <c r="D14" s="65"/>
      <c r="E14" s="65"/>
      <c r="F14" s="65"/>
      <c r="G14" s="65"/>
      <c r="H14" s="65"/>
      <c r="I14" s="65"/>
      <c r="J14" s="65"/>
      <c r="K14" s="65"/>
      <c r="M14" s="222"/>
      <c r="N14" s="223"/>
      <c r="O14" s="148"/>
      <c r="P14" s="148"/>
      <c r="Q14" s="148"/>
      <c r="R14" s="148"/>
      <c r="S14" s="2"/>
      <c r="T14" s="2"/>
      <c r="U14" s="2"/>
      <c r="V14" s="2"/>
      <c r="W14" s="2"/>
      <c r="X14" s="2"/>
      <c r="Y14" s="2"/>
      <c r="Z14" s="2"/>
    </row>
    <row r="15" spans="1:26" s="66" customFormat="1" ht="25.5" customHeight="1" x14ac:dyDescent="0.2">
      <c r="A15" s="124" t="s">
        <v>0</v>
      </c>
      <c r="B15" s="228" t="s">
        <v>3</v>
      </c>
      <c r="C15" s="228"/>
      <c r="D15" s="123"/>
      <c r="E15" s="229" t="s">
        <v>74</v>
      </c>
      <c r="F15" s="230"/>
      <c r="G15" s="123" t="s">
        <v>156</v>
      </c>
      <c r="H15" s="123"/>
      <c r="I15" s="231" t="s">
        <v>73</v>
      </c>
      <c r="J15" s="232"/>
      <c r="K15" s="233"/>
      <c r="M15" s="145" t="s">
        <v>276</v>
      </c>
      <c r="N15" s="144" t="s">
        <v>278</v>
      </c>
      <c r="O15" s="149" t="s">
        <v>277</v>
      </c>
      <c r="P15" s="149" t="s">
        <v>279</v>
      </c>
      <c r="Q15" s="149" t="s">
        <v>280</v>
      </c>
      <c r="R15" s="149" t="s">
        <v>281</v>
      </c>
      <c r="S15" s="147" t="s">
        <v>219</v>
      </c>
      <c r="T15" s="147" t="s">
        <v>275</v>
      </c>
      <c r="U15" s="147"/>
      <c r="V15" s="147"/>
      <c r="W15" s="147"/>
      <c r="X15" s="147"/>
      <c r="Y15" s="68"/>
      <c r="Z15" s="68"/>
    </row>
    <row r="16" spans="1:26" s="66" customFormat="1" ht="25.5" customHeight="1" x14ac:dyDescent="0.2">
      <c r="A16" s="67" t="str">
        <f>IF(R16="","",SUMIFS(Kassenbuch!I:I,Kassenbuch!AA:AA,'Buchungsblatt Ertrag'!R16))</f>
        <v/>
      </c>
      <c r="B16" s="224" t="str">
        <f>T16</f>
        <v/>
      </c>
      <c r="C16" s="225"/>
      <c r="D16" s="24"/>
      <c r="E16" s="226" t="str">
        <f>S16</f>
        <v/>
      </c>
      <c r="F16" s="225"/>
      <c r="G16" s="183" t="str">
        <f>IF(E16="","",VLOOKUP(S16,SaKo!E:H,4,FALSE))</f>
        <v/>
      </c>
      <c r="H16" s="68"/>
      <c r="I16" s="227" t="str">
        <f t="shared" ref="I16:I31" si="0">IF(E16="","",VLOOKUP($E16,SaKoErtragBuchungsblatt,3,FALSE))</f>
        <v/>
      </c>
      <c r="J16" s="227"/>
      <c r="K16" s="227"/>
      <c r="M16" s="147">
        <v>1</v>
      </c>
      <c r="N16" s="150" t="str">
        <f>IFERROR(SMALL(Kassenbuch!AA$20:AA$68,'Buchungsblatt Ertrag'!M16),"")</f>
        <v/>
      </c>
      <c r="O16" s="147">
        <f>MATCH(N16,N$16:N$64,0)</f>
        <v>1</v>
      </c>
      <c r="P16" s="147">
        <f>IFERROR(VLOOKUP(M16,O16:O64,1,FALSE),"")</f>
        <v>1</v>
      </c>
      <c r="Q16" s="68">
        <f>IFERROR(SMALL(P$16:P$64,M16),"")</f>
        <v>1</v>
      </c>
      <c r="R16" s="151" t="str">
        <f>IFERROR(VLOOKUP(Q16,M$16:N$64,2,FALSE),"")</f>
        <v/>
      </c>
      <c r="S16" s="147" t="str">
        <f>IF(R16="","",VLOOKUP(LEFT(R16,3)*1,SaKo!D:E,2,FALSE))</f>
        <v/>
      </c>
      <c r="T16" s="147" t="str">
        <f>IF(R16="","",IF(MID(R16,4,1)*1=9,CONCATENATE(MID(R16,5,LEN(R16)-4),"U"),MID(R16,5,LEN(R16)-4)))</f>
        <v/>
      </c>
      <c r="U16" s="147"/>
      <c r="V16" s="147"/>
      <c r="W16" s="147"/>
      <c r="X16" s="147"/>
      <c r="Y16" s="68"/>
      <c r="Z16" s="68"/>
    </row>
    <row r="17" spans="1:26" s="66" customFormat="1" ht="25.5" customHeight="1" x14ac:dyDescent="0.2">
      <c r="A17" s="67" t="str">
        <f>IF(R17="","",SUMIFS(Kassenbuch!I:I,Kassenbuch!AA:AA,'Buchungsblatt Ertrag'!R17))</f>
        <v/>
      </c>
      <c r="B17" s="224" t="str">
        <f t="shared" ref="B17:B31" si="1">T17</f>
        <v/>
      </c>
      <c r="C17" s="225"/>
      <c r="D17" s="23"/>
      <c r="E17" s="226" t="str">
        <f t="shared" ref="E17:E31" si="2">S17</f>
        <v/>
      </c>
      <c r="F17" s="225"/>
      <c r="G17" s="183" t="str">
        <f>IF(E17="","",VLOOKUP(S17,SaKo!E:H,4,FALSE))</f>
        <v/>
      </c>
      <c r="H17" s="24"/>
      <c r="I17" s="227" t="str">
        <f t="shared" si="0"/>
        <v/>
      </c>
      <c r="J17" s="227"/>
      <c r="K17" s="227"/>
      <c r="M17" s="147">
        <v>2</v>
      </c>
      <c r="N17" s="150" t="str">
        <f>IFERROR(SMALL(Kassenbuch!AA$20:AA$68,'Buchungsblatt Ertrag'!M17),"")</f>
        <v/>
      </c>
      <c r="O17" s="147">
        <f t="shared" ref="O17:O64" si="3">MATCH(N17,N$16:N$64,0)</f>
        <v>1</v>
      </c>
      <c r="P17" s="147" t="str">
        <f t="shared" ref="P17:P64" si="4">IFERROR(VLOOKUP(M17,O17:O65,1,FALSE),"")</f>
        <v/>
      </c>
      <c r="Q17" s="68" t="str">
        <f t="shared" ref="Q17:Q64" si="5">IFERROR(SMALL(P$16:P$64,M17),"")</f>
        <v/>
      </c>
      <c r="R17" s="151" t="str">
        <f t="shared" ref="R17:R64" si="6">IFERROR(VLOOKUP(Q17,M$16:N$64,2,FALSE),"")</f>
        <v/>
      </c>
      <c r="S17" s="147" t="str">
        <f>IF(R17="","",VLOOKUP(LEFT(R17,3)*1,SaKo!D:E,2,FALSE))</f>
        <v/>
      </c>
      <c r="T17" s="147" t="str">
        <f t="shared" ref="T17:T64" si="7">IF(R17="","",IF(MID(R17,4,1)*1=9,CONCATENATE(MID(R17,5,LEN(R17)-4),"U"),MID(R17,5,LEN(R17)-4)))</f>
        <v/>
      </c>
      <c r="U17" s="68"/>
      <c r="V17" s="68"/>
      <c r="W17" s="68"/>
      <c r="X17" s="68"/>
      <c r="Y17" s="68"/>
      <c r="Z17" s="68"/>
    </row>
    <row r="18" spans="1:26" s="66" customFormat="1" ht="25.5" customHeight="1" x14ac:dyDescent="0.2">
      <c r="A18" s="67" t="str">
        <f>IF(R18="","",SUMIFS(Kassenbuch!I:I,Kassenbuch!AA:AA,'Buchungsblatt Ertrag'!R18))</f>
        <v/>
      </c>
      <c r="B18" s="224" t="str">
        <f t="shared" si="1"/>
        <v/>
      </c>
      <c r="C18" s="225"/>
      <c r="D18" s="23"/>
      <c r="E18" s="226" t="str">
        <f t="shared" si="2"/>
        <v/>
      </c>
      <c r="F18" s="225"/>
      <c r="G18" s="183" t="str">
        <f>IF(E18="","",VLOOKUP(S18,SaKo!E:H,4,FALSE))</f>
        <v/>
      </c>
      <c r="H18" s="24"/>
      <c r="I18" s="227" t="str">
        <f t="shared" si="0"/>
        <v/>
      </c>
      <c r="J18" s="227"/>
      <c r="K18" s="227"/>
      <c r="M18" s="147">
        <v>3</v>
      </c>
      <c r="N18" s="150" t="str">
        <f>IFERROR(SMALL(Kassenbuch!AA$20:AA$68,'Buchungsblatt Ertrag'!M18),"")</f>
        <v/>
      </c>
      <c r="O18" s="147">
        <f t="shared" si="3"/>
        <v>1</v>
      </c>
      <c r="P18" s="147" t="str">
        <f t="shared" si="4"/>
        <v/>
      </c>
      <c r="Q18" s="68" t="str">
        <f t="shared" si="5"/>
        <v/>
      </c>
      <c r="R18" s="151" t="str">
        <f t="shared" si="6"/>
        <v/>
      </c>
      <c r="S18" s="147" t="str">
        <f>IF(R18="","",VLOOKUP(LEFT(R18,3)*1,SaKo!D:E,2,FALSE))</f>
        <v/>
      </c>
      <c r="T18" s="147" t="str">
        <f t="shared" si="7"/>
        <v/>
      </c>
      <c r="U18" s="68"/>
      <c r="V18" s="68"/>
      <c r="W18" s="68"/>
      <c r="X18" s="68"/>
      <c r="Y18" s="68"/>
      <c r="Z18" s="68"/>
    </row>
    <row r="19" spans="1:26" s="66" customFormat="1" ht="25.5" customHeight="1" x14ac:dyDescent="0.2">
      <c r="A19" s="67" t="str">
        <f>IF(R19="","",SUMIFS(Kassenbuch!I:I,Kassenbuch!AA:AA,'Buchungsblatt Ertrag'!R19))</f>
        <v/>
      </c>
      <c r="B19" s="224" t="str">
        <f t="shared" si="1"/>
        <v/>
      </c>
      <c r="C19" s="225"/>
      <c r="D19" s="23"/>
      <c r="E19" s="226" t="str">
        <f t="shared" si="2"/>
        <v/>
      </c>
      <c r="F19" s="225"/>
      <c r="G19" s="183" t="str">
        <f>IF(E19="","",VLOOKUP(S19,SaKo!E:H,4,FALSE))</f>
        <v/>
      </c>
      <c r="H19" s="24"/>
      <c r="I19" s="227" t="str">
        <f t="shared" si="0"/>
        <v/>
      </c>
      <c r="J19" s="227"/>
      <c r="K19" s="227"/>
      <c r="M19" s="147">
        <v>4</v>
      </c>
      <c r="N19" s="150" t="str">
        <f>IFERROR(SMALL(Kassenbuch!AA$20:AA$68,'Buchungsblatt Ertrag'!M19),"")</f>
        <v/>
      </c>
      <c r="O19" s="147">
        <f t="shared" si="3"/>
        <v>1</v>
      </c>
      <c r="P19" s="147" t="str">
        <f t="shared" si="4"/>
        <v/>
      </c>
      <c r="Q19" s="68" t="str">
        <f t="shared" si="5"/>
        <v/>
      </c>
      <c r="R19" s="151" t="str">
        <f t="shared" si="6"/>
        <v/>
      </c>
      <c r="S19" s="147" t="str">
        <f>IF(R19="","",VLOOKUP(LEFT(R19,3)*1,SaKo!D:E,2,FALSE))</f>
        <v/>
      </c>
      <c r="T19" s="147" t="str">
        <f t="shared" si="7"/>
        <v/>
      </c>
      <c r="U19" s="68"/>
      <c r="V19" s="68"/>
      <c r="W19" s="68"/>
      <c r="X19" s="68"/>
      <c r="Y19" s="68"/>
      <c r="Z19" s="68"/>
    </row>
    <row r="20" spans="1:26" s="66" customFormat="1" ht="25.5" customHeight="1" x14ac:dyDescent="0.2">
      <c r="A20" s="67" t="str">
        <f>IF(R20="","",SUMIFS(Kassenbuch!I:I,Kassenbuch!AA:AA,'Buchungsblatt Ertrag'!R20))</f>
        <v/>
      </c>
      <c r="B20" s="224" t="str">
        <f t="shared" si="1"/>
        <v/>
      </c>
      <c r="C20" s="225"/>
      <c r="D20" s="23"/>
      <c r="E20" s="226" t="str">
        <f t="shared" si="2"/>
        <v/>
      </c>
      <c r="F20" s="225"/>
      <c r="G20" s="183" t="str">
        <f>IF(E20="","",VLOOKUP(S20,SaKo!E:H,4,FALSE))</f>
        <v/>
      </c>
      <c r="H20" s="24"/>
      <c r="I20" s="227" t="str">
        <f t="shared" si="0"/>
        <v/>
      </c>
      <c r="J20" s="227"/>
      <c r="K20" s="227"/>
      <c r="M20" s="147">
        <v>5</v>
      </c>
      <c r="N20" s="150" t="str">
        <f>IFERROR(SMALL(Kassenbuch!AA$20:AA$68,'Buchungsblatt Ertrag'!M20),"")</f>
        <v/>
      </c>
      <c r="O20" s="147">
        <f t="shared" si="3"/>
        <v>1</v>
      </c>
      <c r="P20" s="147" t="str">
        <f t="shared" si="4"/>
        <v/>
      </c>
      <c r="Q20" s="68" t="str">
        <f t="shared" si="5"/>
        <v/>
      </c>
      <c r="R20" s="151" t="str">
        <f t="shared" si="6"/>
        <v/>
      </c>
      <c r="S20" s="147" t="str">
        <f>IF(R20="","",VLOOKUP(LEFT(R20,3)*1,SaKo!D:E,2,FALSE))</f>
        <v/>
      </c>
      <c r="T20" s="147" t="str">
        <f t="shared" si="7"/>
        <v/>
      </c>
      <c r="U20" s="68"/>
      <c r="V20" s="68"/>
      <c r="W20" s="68"/>
      <c r="X20" s="68"/>
      <c r="Y20" s="68"/>
      <c r="Z20" s="68"/>
    </row>
    <row r="21" spans="1:26" s="66" customFormat="1" ht="25.5" customHeight="1" x14ac:dyDescent="0.2">
      <c r="A21" s="67" t="str">
        <f>IF(R21="","",SUMIFS(Kassenbuch!I:I,Kassenbuch!AA:AA,'Buchungsblatt Ertrag'!R21))</f>
        <v/>
      </c>
      <c r="B21" s="224" t="str">
        <f t="shared" si="1"/>
        <v/>
      </c>
      <c r="C21" s="225"/>
      <c r="D21" s="23"/>
      <c r="E21" s="226" t="str">
        <f t="shared" si="2"/>
        <v/>
      </c>
      <c r="F21" s="225"/>
      <c r="G21" s="183" t="str">
        <f>IF(E21="","",VLOOKUP(S21,SaKo!E:H,4,FALSE))</f>
        <v/>
      </c>
      <c r="H21" s="24"/>
      <c r="I21" s="227" t="str">
        <f t="shared" si="0"/>
        <v/>
      </c>
      <c r="J21" s="227"/>
      <c r="K21" s="227"/>
      <c r="M21" s="147">
        <v>6</v>
      </c>
      <c r="N21" s="150" t="str">
        <f>IFERROR(SMALL(Kassenbuch!AA$20:AA$68,'Buchungsblatt Ertrag'!M21),"")</f>
        <v/>
      </c>
      <c r="O21" s="147">
        <f t="shared" si="3"/>
        <v>1</v>
      </c>
      <c r="P21" s="147" t="str">
        <f t="shared" si="4"/>
        <v/>
      </c>
      <c r="Q21" s="68" t="str">
        <f t="shared" si="5"/>
        <v/>
      </c>
      <c r="R21" s="151" t="str">
        <f t="shared" si="6"/>
        <v/>
      </c>
      <c r="S21" s="147" t="str">
        <f>IF(R21="","",VLOOKUP(LEFT(R21,3)*1,SaKo!D:E,2,FALSE))</f>
        <v/>
      </c>
      <c r="T21" s="147" t="str">
        <f t="shared" si="7"/>
        <v/>
      </c>
      <c r="U21" s="68"/>
      <c r="V21" s="68"/>
      <c r="W21" s="68"/>
      <c r="X21" s="68"/>
      <c r="Y21" s="68"/>
      <c r="Z21" s="68"/>
    </row>
    <row r="22" spans="1:26" s="66" customFormat="1" ht="25.5" customHeight="1" x14ac:dyDescent="0.2">
      <c r="A22" s="67" t="str">
        <f>IF(R22="","",SUMIFS(Kassenbuch!I:I,Kassenbuch!AA:AA,'Buchungsblatt Ertrag'!R22))</f>
        <v/>
      </c>
      <c r="B22" s="224" t="str">
        <f t="shared" si="1"/>
        <v/>
      </c>
      <c r="C22" s="225"/>
      <c r="D22" s="23"/>
      <c r="E22" s="226" t="str">
        <f t="shared" si="2"/>
        <v/>
      </c>
      <c r="F22" s="225"/>
      <c r="G22" s="183" t="str">
        <f>IF(E22="","",VLOOKUP(S22,SaKo!E:H,4,FALSE))</f>
        <v/>
      </c>
      <c r="H22" s="24"/>
      <c r="I22" s="227" t="str">
        <f t="shared" si="0"/>
        <v/>
      </c>
      <c r="J22" s="227"/>
      <c r="K22" s="227"/>
      <c r="M22" s="147">
        <v>7</v>
      </c>
      <c r="N22" s="150" t="str">
        <f>IFERROR(SMALL(Kassenbuch!AA$20:AA$68,'Buchungsblatt Ertrag'!M22),"")</f>
        <v/>
      </c>
      <c r="O22" s="147">
        <f t="shared" si="3"/>
        <v>1</v>
      </c>
      <c r="P22" s="147" t="str">
        <f t="shared" si="4"/>
        <v/>
      </c>
      <c r="Q22" s="68" t="str">
        <f t="shared" si="5"/>
        <v/>
      </c>
      <c r="R22" s="151" t="str">
        <f t="shared" si="6"/>
        <v/>
      </c>
      <c r="S22" s="147" t="str">
        <f>IF(R22="","",VLOOKUP(LEFT(R22,3)*1,SaKo!D:E,2,FALSE))</f>
        <v/>
      </c>
      <c r="T22" s="147" t="str">
        <f t="shared" si="7"/>
        <v/>
      </c>
      <c r="U22" s="68"/>
      <c r="V22" s="68"/>
      <c r="W22" s="68"/>
      <c r="X22" s="68"/>
      <c r="Y22" s="68"/>
      <c r="Z22" s="68"/>
    </row>
    <row r="23" spans="1:26" s="66" customFormat="1" ht="25.5" customHeight="1" x14ac:dyDescent="0.2">
      <c r="A23" s="67" t="str">
        <f>IF(R23="","",SUMIFS(Kassenbuch!I:I,Kassenbuch!AA:AA,'Buchungsblatt Ertrag'!R23))</f>
        <v/>
      </c>
      <c r="B23" s="224" t="str">
        <f t="shared" si="1"/>
        <v/>
      </c>
      <c r="C23" s="225"/>
      <c r="D23" s="23"/>
      <c r="E23" s="226" t="str">
        <f t="shared" si="2"/>
        <v/>
      </c>
      <c r="F23" s="225"/>
      <c r="G23" s="183" t="str">
        <f>IF(E23="","",VLOOKUP(S23,SaKo!E:H,4,FALSE))</f>
        <v/>
      </c>
      <c r="H23" s="24"/>
      <c r="I23" s="227" t="str">
        <f t="shared" si="0"/>
        <v/>
      </c>
      <c r="J23" s="227"/>
      <c r="K23" s="227"/>
      <c r="M23" s="147">
        <v>8</v>
      </c>
      <c r="N23" s="150" t="str">
        <f>IFERROR(SMALL(Kassenbuch!AA$20:AA$68,'Buchungsblatt Ertrag'!M23),"")</f>
        <v/>
      </c>
      <c r="O23" s="147">
        <f t="shared" si="3"/>
        <v>1</v>
      </c>
      <c r="P23" s="147" t="str">
        <f t="shared" si="4"/>
        <v/>
      </c>
      <c r="Q23" s="68" t="str">
        <f t="shared" si="5"/>
        <v/>
      </c>
      <c r="R23" s="151" t="str">
        <f t="shared" si="6"/>
        <v/>
      </c>
      <c r="S23" s="147" t="str">
        <f>IF(R23="","",VLOOKUP(LEFT(R23,3)*1,SaKo!D:E,2,FALSE))</f>
        <v/>
      </c>
      <c r="T23" s="147" t="str">
        <f t="shared" si="7"/>
        <v/>
      </c>
      <c r="U23" s="68"/>
      <c r="V23" s="68"/>
      <c r="W23" s="68"/>
      <c r="X23" s="68"/>
      <c r="Y23" s="68"/>
      <c r="Z23" s="68"/>
    </row>
    <row r="24" spans="1:26" s="66" customFormat="1" ht="25.5" customHeight="1" x14ac:dyDescent="0.2">
      <c r="A24" s="67" t="str">
        <f>IF(R24="","",SUMIFS(Kassenbuch!I:I,Kassenbuch!AA:AA,'Buchungsblatt Ertrag'!R24))</f>
        <v/>
      </c>
      <c r="B24" s="224" t="str">
        <f t="shared" si="1"/>
        <v/>
      </c>
      <c r="C24" s="225"/>
      <c r="D24" s="23"/>
      <c r="E24" s="226" t="str">
        <f t="shared" si="2"/>
        <v/>
      </c>
      <c r="F24" s="225"/>
      <c r="G24" s="183" t="str">
        <f>IF(E24="","",VLOOKUP(S24,SaKo!E:H,4,FALSE))</f>
        <v/>
      </c>
      <c r="H24" s="24"/>
      <c r="I24" s="227" t="str">
        <f t="shared" si="0"/>
        <v/>
      </c>
      <c r="J24" s="227"/>
      <c r="K24" s="227"/>
      <c r="M24" s="147">
        <v>9</v>
      </c>
      <c r="N24" s="150" t="str">
        <f>IFERROR(SMALL(Kassenbuch!AA$20:AA$68,'Buchungsblatt Ertrag'!M24),"")</f>
        <v/>
      </c>
      <c r="O24" s="147">
        <f t="shared" si="3"/>
        <v>1</v>
      </c>
      <c r="P24" s="147" t="str">
        <f t="shared" si="4"/>
        <v/>
      </c>
      <c r="Q24" s="68" t="str">
        <f t="shared" si="5"/>
        <v/>
      </c>
      <c r="R24" s="151" t="str">
        <f t="shared" si="6"/>
        <v/>
      </c>
      <c r="S24" s="147" t="str">
        <f>IF(R24="","",VLOOKUP(LEFT(R24,3)*1,SaKo!D:E,2,FALSE))</f>
        <v/>
      </c>
      <c r="T24" s="147" t="str">
        <f t="shared" si="7"/>
        <v/>
      </c>
      <c r="U24" s="68"/>
      <c r="V24" s="68"/>
      <c r="W24" s="68"/>
      <c r="X24" s="68"/>
      <c r="Y24" s="68"/>
      <c r="Z24" s="68"/>
    </row>
    <row r="25" spans="1:26" s="66" customFormat="1" ht="25.5" customHeight="1" x14ac:dyDescent="0.2">
      <c r="A25" s="67" t="str">
        <f>IF(R25="","",SUMIFS(Kassenbuch!I:I,Kassenbuch!AA:AA,'Buchungsblatt Ertrag'!R25))</f>
        <v/>
      </c>
      <c r="B25" s="224" t="str">
        <f t="shared" si="1"/>
        <v/>
      </c>
      <c r="C25" s="225"/>
      <c r="D25" s="23"/>
      <c r="E25" s="226" t="str">
        <f t="shared" si="2"/>
        <v/>
      </c>
      <c r="F25" s="225"/>
      <c r="G25" s="183" t="str">
        <f>IF(E25="","",VLOOKUP(S25,SaKo!E:H,4,FALSE))</f>
        <v/>
      </c>
      <c r="H25" s="24"/>
      <c r="I25" s="227" t="str">
        <f t="shared" si="0"/>
        <v/>
      </c>
      <c r="J25" s="227"/>
      <c r="K25" s="227"/>
      <c r="M25" s="147">
        <v>10</v>
      </c>
      <c r="N25" s="150" t="str">
        <f>IFERROR(SMALL(Kassenbuch!AA$20:AA$68,'Buchungsblatt Ertrag'!M25),"")</f>
        <v/>
      </c>
      <c r="O25" s="147">
        <f t="shared" si="3"/>
        <v>1</v>
      </c>
      <c r="P25" s="147" t="str">
        <f t="shared" si="4"/>
        <v/>
      </c>
      <c r="Q25" s="68" t="str">
        <f t="shared" si="5"/>
        <v/>
      </c>
      <c r="R25" s="151" t="str">
        <f t="shared" si="6"/>
        <v/>
      </c>
      <c r="S25" s="147" t="str">
        <f>IF(R25="","",VLOOKUP(LEFT(R25,3)*1,SaKo!D:E,2,FALSE))</f>
        <v/>
      </c>
      <c r="T25" s="147" t="str">
        <f t="shared" si="7"/>
        <v/>
      </c>
      <c r="U25" s="68"/>
      <c r="V25" s="68"/>
      <c r="W25" s="68"/>
      <c r="X25" s="68"/>
      <c r="Y25" s="68"/>
      <c r="Z25" s="68"/>
    </row>
    <row r="26" spans="1:26" s="66" customFormat="1" ht="25.5" customHeight="1" x14ac:dyDescent="0.2">
      <c r="A26" s="67" t="str">
        <f>IF(R26="","",SUMIFS(Kassenbuch!I:I,Kassenbuch!AA:AA,'Buchungsblatt Ertrag'!R26))</f>
        <v/>
      </c>
      <c r="B26" s="224" t="str">
        <f t="shared" si="1"/>
        <v/>
      </c>
      <c r="C26" s="225"/>
      <c r="D26" s="23"/>
      <c r="E26" s="226" t="str">
        <f t="shared" si="2"/>
        <v/>
      </c>
      <c r="F26" s="225"/>
      <c r="G26" s="183" t="str">
        <f>IF(E26="","",VLOOKUP(S26,SaKo!E:H,4,FALSE))</f>
        <v/>
      </c>
      <c r="H26" s="24"/>
      <c r="I26" s="227" t="str">
        <f t="shared" si="0"/>
        <v/>
      </c>
      <c r="J26" s="227"/>
      <c r="K26" s="227"/>
      <c r="M26" s="147">
        <v>11</v>
      </c>
      <c r="N26" s="150" t="str">
        <f>IFERROR(SMALL(Kassenbuch!AA$20:AA$68,'Buchungsblatt Ertrag'!M26),"")</f>
        <v/>
      </c>
      <c r="O26" s="147">
        <f t="shared" si="3"/>
        <v>1</v>
      </c>
      <c r="P26" s="147" t="str">
        <f t="shared" si="4"/>
        <v/>
      </c>
      <c r="Q26" s="68" t="str">
        <f t="shared" si="5"/>
        <v/>
      </c>
      <c r="R26" s="151" t="str">
        <f t="shared" si="6"/>
        <v/>
      </c>
      <c r="S26" s="147" t="str">
        <f>IF(R26="","",VLOOKUP(LEFT(R26,3)*1,SaKo!D:E,2,FALSE))</f>
        <v/>
      </c>
      <c r="T26" s="147" t="str">
        <f t="shared" si="7"/>
        <v/>
      </c>
      <c r="U26" s="68"/>
      <c r="V26" s="68"/>
      <c r="W26" s="68"/>
      <c r="X26" s="68"/>
      <c r="Y26" s="68"/>
      <c r="Z26" s="68"/>
    </row>
    <row r="27" spans="1:26" s="66" customFormat="1" ht="25.5" customHeight="1" x14ac:dyDescent="0.2">
      <c r="A27" s="67" t="str">
        <f>IF(R27="","",SUMIFS(Kassenbuch!I:I,Kassenbuch!AA:AA,'Buchungsblatt Ertrag'!R27))</f>
        <v/>
      </c>
      <c r="B27" s="224" t="str">
        <f t="shared" si="1"/>
        <v/>
      </c>
      <c r="C27" s="225"/>
      <c r="D27" s="23"/>
      <c r="E27" s="226" t="str">
        <f t="shared" si="2"/>
        <v/>
      </c>
      <c r="F27" s="225"/>
      <c r="G27" s="183" t="str">
        <f>IF(E27="","",VLOOKUP(S27,SaKo!E:H,4,FALSE))</f>
        <v/>
      </c>
      <c r="H27" s="24"/>
      <c r="I27" s="227" t="str">
        <f t="shared" si="0"/>
        <v/>
      </c>
      <c r="J27" s="227"/>
      <c r="K27" s="227"/>
      <c r="M27" s="147">
        <v>12</v>
      </c>
      <c r="N27" s="150" t="str">
        <f>IFERROR(SMALL(Kassenbuch!AA$20:AA$68,'Buchungsblatt Ertrag'!M27),"")</f>
        <v/>
      </c>
      <c r="O27" s="147">
        <f t="shared" si="3"/>
        <v>1</v>
      </c>
      <c r="P27" s="147" t="str">
        <f t="shared" si="4"/>
        <v/>
      </c>
      <c r="Q27" s="68" t="str">
        <f t="shared" si="5"/>
        <v/>
      </c>
      <c r="R27" s="151" t="str">
        <f t="shared" si="6"/>
        <v/>
      </c>
      <c r="S27" s="147" t="str">
        <f>IF(R27="","",VLOOKUP(LEFT(R27,3)*1,SaKo!D:E,2,FALSE))</f>
        <v/>
      </c>
      <c r="T27" s="147" t="str">
        <f t="shared" si="7"/>
        <v/>
      </c>
      <c r="U27" s="68"/>
      <c r="V27" s="68"/>
      <c r="W27" s="68"/>
      <c r="X27" s="68"/>
      <c r="Y27" s="68"/>
      <c r="Z27" s="68"/>
    </row>
    <row r="28" spans="1:26" s="66" customFormat="1" ht="25.5" customHeight="1" x14ac:dyDescent="0.2">
      <c r="A28" s="67" t="str">
        <f>IF(R28="","",SUMIFS(Kassenbuch!I:I,Kassenbuch!AA:AA,'Buchungsblatt Ertrag'!R28))</f>
        <v/>
      </c>
      <c r="B28" s="224" t="str">
        <f t="shared" si="1"/>
        <v/>
      </c>
      <c r="C28" s="225"/>
      <c r="D28" s="23"/>
      <c r="E28" s="226" t="str">
        <f t="shared" si="2"/>
        <v/>
      </c>
      <c r="F28" s="225"/>
      <c r="G28" s="183" t="str">
        <f>IF(E28="","",VLOOKUP(S28,SaKo!E:H,4,FALSE))</f>
        <v/>
      </c>
      <c r="H28" s="24"/>
      <c r="I28" s="227" t="str">
        <f t="shared" si="0"/>
        <v/>
      </c>
      <c r="J28" s="227"/>
      <c r="K28" s="227"/>
      <c r="M28" s="147">
        <v>13</v>
      </c>
      <c r="N28" s="150" t="str">
        <f>IFERROR(SMALL(Kassenbuch!AA$20:AA$68,'Buchungsblatt Ertrag'!M28),"")</f>
        <v/>
      </c>
      <c r="O28" s="147">
        <f t="shared" si="3"/>
        <v>1</v>
      </c>
      <c r="P28" s="147" t="str">
        <f t="shared" si="4"/>
        <v/>
      </c>
      <c r="Q28" s="68" t="str">
        <f t="shared" si="5"/>
        <v/>
      </c>
      <c r="R28" s="151" t="str">
        <f t="shared" si="6"/>
        <v/>
      </c>
      <c r="S28" s="147" t="str">
        <f>IF(R28="","",VLOOKUP(LEFT(R28,3)*1,SaKo!D:E,2,FALSE))</f>
        <v/>
      </c>
      <c r="T28" s="147" t="str">
        <f t="shared" si="7"/>
        <v/>
      </c>
      <c r="U28" s="68"/>
      <c r="V28" s="68"/>
      <c r="W28" s="68"/>
      <c r="X28" s="68"/>
      <c r="Y28" s="68"/>
      <c r="Z28" s="68"/>
    </row>
    <row r="29" spans="1:26" s="66" customFormat="1" ht="25.5" customHeight="1" x14ac:dyDescent="0.2">
      <c r="A29" s="67" t="str">
        <f>IF(R29="","",SUMIFS(Kassenbuch!I:I,Kassenbuch!AA:AA,'Buchungsblatt Ertrag'!R29))</f>
        <v/>
      </c>
      <c r="B29" s="224" t="str">
        <f t="shared" si="1"/>
        <v/>
      </c>
      <c r="C29" s="225"/>
      <c r="D29" s="23"/>
      <c r="E29" s="226" t="str">
        <f t="shared" si="2"/>
        <v/>
      </c>
      <c r="F29" s="225"/>
      <c r="G29" s="183" t="str">
        <f>IF(E29="","",VLOOKUP(S29,SaKo!E:H,4,FALSE))</f>
        <v/>
      </c>
      <c r="H29" s="24"/>
      <c r="I29" s="227" t="str">
        <f t="shared" si="0"/>
        <v/>
      </c>
      <c r="J29" s="227"/>
      <c r="K29" s="227"/>
      <c r="M29" s="147">
        <v>14</v>
      </c>
      <c r="N29" s="150" t="str">
        <f>IFERROR(SMALL(Kassenbuch!AA$20:AA$68,'Buchungsblatt Ertrag'!M29),"")</f>
        <v/>
      </c>
      <c r="O29" s="147">
        <f t="shared" si="3"/>
        <v>1</v>
      </c>
      <c r="P29" s="147" t="str">
        <f t="shared" si="4"/>
        <v/>
      </c>
      <c r="Q29" s="68" t="str">
        <f t="shared" si="5"/>
        <v/>
      </c>
      <c r="R29" s="151" t="str">
        <f t="shared" si="6"/>
        <v/>
      </c>
      <c r="S29" s="147" t="str">
        <f>IF(R29="","",VLOOKUP(LEFT(R29,3)*1,SaKo!D:E,2,FALSE))</f>
        <v/>
      </c>
      <c r="T29" s="147" t="str">
        <f t="shared" si="7"/>
        <v/>
      </c>
      <c r="U29" s="68"/>
      <c r="V29" s="68"/>
      <c r="W29" s="68"/>
      <c r="X29" s="68"/>
      <c r="Y29" s="68"/>
      <c r="Z29" s="68"/>
    </row>
    <row r="30" spans="1:26" s="66" customFormat="1" ht="25.5" customHeight="1" x14ac:dyDescent="0.2">
      <c r="A30" s="67" t="str">
        <f>IF(R30="","",SUMIFS(Kassenbuch!I:I,Kassenbuch!AA:AA,'Buchungsblatt Ertrag'!R30))</f>
        <v/>
      </c>
      <c r="B30" s="224" t="str">
        <f t="shared" si="1"/>
        <v/>
      </c>
      <c r="C30" s="225"/>
      <c r="D30" s="23"/>
      <c r="E30" s="226" t="str">
        <f t="shared" si="2"/>
        <v/>
      </c>
      <c r="F30" s="225"/>
      <c r="G30" s="183" t="str">
        <f>IF(E30="","",VLOOKUP(S30,SaKo!E:H,4,FALSE))</f>
        <v/>
      </c>
      <c r="H30" s="24"/>
      <c r="I30" s="227" t="str">
        <f t="shared" si="0"/>
        <v/>
      </c>
      <c r="J30" s="227"/>
      <c r="K30" s="227"/>
      <c r="M30" s="147">
        <v>15</v>
      </c>
      <c r="N30" s="150" t="str">
        <f>IFERROR(SMALL(Kassenbuch!AA$20:AA$68,'Buchungsblatt Ertrag'!M30),"")</f>
        <v/>
      </c>
      <c r="O30" s="147">
        <f t="shared" si="3"/>
        <v>1</v>
      </c>
      <c r="P30" s="147" t="str">
        <f t="shared" si="4"/>
        <v/>
      </c>
      <c r="Q30" s="68" t="str">
        <f t="shared" si="5"/>
        <v/>
      </c>
      <c r="R30" s="151" t="str">
        <f t="shared" si="6"/>
        <v/>
      </c>
      <c r="S30" s="147" t="str">
        <f>IF(R30="","",VLOOKUP(LEFT(R30,3)*1,SaKo!D:E,2,FALSE))</f>
        <v/>
      </c>
      <c r="T30" s="147" t="str">
        <f t="shared" si="7"/>
        <v/>
      </c>
      <c r="U30" s="68"/>
      <c r="V30" s="68"/>
      <c r="W30" s="68"/>
      <c r="X30" s="68"/>
      <c r="Y30" s="68"/>
      <c r="Z30" s="68"/>
    </row>
    <row r="31" spans="1:26" s="66" customFormat="1" ht="25.5" customHeight="1" x14ac:dyDescent="0.2">
      <c r="A31" s="67" t="str">
        <f>IF(R31="","",SUMIFS(Kassenbuch!I:I,Kassenbuch!AA:AA,'Buchungsblatt Ertrag'!R31))</f>
        <v/>
      </c>
      <c r="B31" s="224" t="str">
        <f t="shared" si="1"/>
        <v/>
      </c>
      <c r="C31" s="225"/>
      <c r="D31" s="23"/>
      <c r="E31" s="226" t="str">
        <f t="shared" si="2"/>
        <v/>
      </c>
      <c r="F31" s="225"/>
      <c r="G31" s="183" t="str">
        <f>IF(E31="","",VLOOKUP(S31,SaKo!E:H,4,FALSE))</f>
        <v/>
      </c>
      <c r="H31" s="24"/>
      <c r="I31" s="227" t="str">
        <f t="shared" si="0"/>
        <v/>
      </c>
      <c r="J31" s="227"/>
      <c r="K31" s="227"/>
      <c r="M31" s="147">
        <v>16</v>
      </c>
      <c r="N31" s="150" t="str">
        <f>IFERROR(SMALL(Kassenbuch!AA$20:AA$68,'Buchungsblatt Ertrag'!M31),"")</f>
        <v/>
      </c>
      <c r="O31" s="147">
        <f t="shared" si="3"/>
        <v>1</v>
      </c>
      <c r="P31" s="147" t="str">
        <f t="shared" si="4"/>
        <v/>
      </c>
      <c r="Q31" s="68" t="str">
        <f t="shared" si="5"/>
        <v/>
      </c>
      <c r="R31" s="151" t="str">
        <f t="shared" si="6"/>
        <v/>
      </c>
      <c r="S31" s="147" t="str">
        <f>IF(R31="","",VLOOKUP(LEFT(R31,3)*1,SaKo!D:E,2,FALSE))</f>
        <v/>
      </c>
      <c r="T31" s="147" t="str">
        <f t="shared" si="7"/>
        <v/>
      </c>
      <c r="U31" s="68"/>
      <c r="V31" s="68"/>
      <c r="W31" s="68"/>
      <c r="X31" s="68"/>
      <c r="Y31" s="68"/>
      <c r="Z31" s="68"/>
    </row>
    <row r="32" spans="1:26" s="66" customFormat="1" ht="25.5" customHeight="1" x14ac:dyDescent="0.2">
      <c r="A32" s="69" t="str">
        <f>IF(A16&lt;&gt;"",SUM(A16:A31),"")</f>
        <v/>
      </c>
      <c r="B32" s="236" t="str">
        <f>IF(A32="","","Gesamtbetrag")</f>
        <v/>
      </c>
      <c r="C32" s="236"/>
      <c r="D32" s="70"/>
      <c r="E32" s="237"/>
      <c r="F32" s="237"/>
      <c r="G32" s="122"/>
      <c r="H32" s="122"/>
      <c r="I32" s="237"/>
      <c r="J32" s="237"/>
      <c r="K32" s="237"/>
      <c r="M32" s="147">
        <v>17</v>
      </c>
      <c r="N32" s="150" t="str">
        <f>IFERROR(SMALL(Kassenbuch!AA$20:AA$68,'Buchungsblatt Ertrag'!M32),"")</f>
        <v/>
      </c>
      <c r="O32" s="147">
        <f t="shared" si="3"/>
        <v>1</v>
      </c>
      <c r="P32" s="147" t="str">
        <f t="shared" si="4"/>
        <v/>
      </c>
      <c r="Q32" s="68" t="str">
        <f t="shared" si="5"/>
        <v/>
      </c>
      <c r="R32" s="151" t="str">
        <f t="shared" si="6"/>
        <v/>
      </c>
      <c r="S32" s="147" t="str">
        <f>IF(R32="","",VLOOKUP(LEFT(R32,3)*1,SaKo!D:E,2,FALSE))</f>
        <v/>
      </c>
      <c r="T32" s="147" t="str">
        <f t="shared" si="7"/>
        <v/>
      </c>
      <c r="U32" s="68"/>
      <c r="V32" s="68"/>
      <c r="W32" s="68"/>
      <c r="X32" s="68"/>
      <c r="Y32" s="68"/>
      <c r="Z32" s="68"/>
    </row>
    <row r="33" spans="1:26" s="34" customFormat="1" ht="37.5" customHeight="1" x14ac:dyDescent="0.2">
      <c r="B33" s="234"/>
      <c r="C33" s="234"/>
      <c r="D33" s="1"/>
      <c r="E33" s="234"/>
      <c r="F33" s="234"/>
      <c r="G33" s="234"/>
      <c r="H33" s="234"/>
      <c r="I33" s="234"/>
      <c r="J33" s="234"/>
      <c r="K33" s="234"/>
      <c r="M33" s="147">
        <v>18</v>
      </c>
      <c r="N33" s="150" t="str">
        <f>IFERROR(SMALL(Kassenbuch!AA$20:AA$68,'Buchungsblatt Ertrag'!M33),"")</f>
        <v/>
      </c>
      <c r="O33" s="147">
        <f t="shared" si="3"/>
        <v>1</v>
      </c>
      <c r="P33" s="147" t="str">
        <f t="shared" si="4"/>
        <v/>
      </c>
      <c r="Q33" s="68" t="str">
        <f t="shared" si="5"/>
        <v/>
      </c>
      <c r="R33" s="151" t="str">
        <f t="shared" si="6"/>
        <v/>
      </c>
      <c r="S33" s="147" t="str">
        <f>IF(R33="","",VLOOKUP(LEFT(R33,3)*1,SaKo!D:E,2,FALSE))</f>
        <v/>
      </c>
      <c r="T33" s="147" t="str">
        <f t="shared" si="7"/>
        <v/>
      </c>
      <c r="U33" s="2"/>
      <c r="V33" s="2"/>
      <c r="W33" s="2"/>
      <c r="X33" s="2"/>
      <c r="Y33" s="2"/>
      <c r="Z33" s="2"/>
    </row>
    <row r="34" spans="1:26" s="34" customFormat="1" ht="17.25" customHeight="1" x14ac:dyDescent="0.2">
      <c r="A34" s="71" t="s">
        <v>127</v>
      </c>
      <c r="B34" s="234"/>
      <c r="C34" s="234"/>
      <c r="D34" s="234"/>
      <c r="E34" s="234"/>
      <c r="F34" s="235" t="s">
        <v>128</v>
      </c>
      <c r="G34" s="235"/>
      <c r="H34" s="235"/>
      <c r="I34" s="235"/>
      <c r="J34" s="235"/>
      <c r="K34" s="235"/>
      <c r="M34" s="147">
        <v>19</v>
      </c>
      <c r="N34" s="150" t="str">
        <f>IFERROR(SMALL(Kassenbuch!AA$20:AA$68,'Buchungsblatt Ertrag'!M34),"")</f>
        <v/>
      </c>
      <c r="O34" s="147">
        <f t="shared" si="3"/>
        <v>1</v>
      </c>
      <c r="P34" s="147" t="str">
        <f t="shared" si="4"/>
        <v/>
      </c>
      <c r="Q34" s="68" t="str">
        <f t="shared" si="5"/>
        <v/>
      </c>
      <c r="R34" s="151" t="str">
        <f t="shared" si="6"/>
        <v/>
      </c>
      <c r="S34" s="147" t="str">
        <f>IF(R34="","",VLOOKUP(LEFT(R34,3)*1,SaKo!D:E,2,FALSE))</f>
        <v/>
      </c>
      <c r="T34" s="147" t="str">
        <f t="shared" si="7"/>
        <v/>
      </c>
      <c r="U34" s="2"/>
      <c r="V34" s="2"/>
      <c r="W34" s="2"/>
      <c r="X34" s="2"/>
      <c r="Y34" s="2"/>
      <c r="Z34" s="2"/>
    </row>
    <row r="35" spans="1:26" ht="15" x14ac:dyDescent="0.2">
      <c r="M35" s="147">
        <v>20</v>
      </c>
      <c r="N35" s="150" t="str">
        <f>IFERROR(SMALL(Kassenbuch!AA$20:AA$68,'Buchungsblatt Ertrag'!M35),"")</f>
        <v/>
      </c>
      <c r="O35" s="147">
        <f t="shared" si="3"/>
        <v>1</v>
      </c>
      <c r="P35" s="147" t="str">
        <f t="shared" si="4"/>
        <v/>
      </c>
      <c r="Q35" s="68" t="str">
        <f t="shared" si="5"/>
        <v/>
      </c>
      <c r="R35" s="151" t="str">
        <f t="shared" si="6"/>
        <v/>
      </c>
      <c r="S35" s="147" t="str">
        <f>IF(R35="","",VLOOKUP(LEFT(R35,3)*1,SaKo!D:E,2,FALSE))</f>
        <v/>
      </c>
      <c r="T35" s="147" t="str">
        <f t="shared" si="7"/>
        <v/>
      </c>
    </row>
    <row r="36" spans="1:26" ht="15" hidden="1" x14ac:dyDescent="0.2">
      <c r="M36" s="147">
        <v>21</v>
      </c>
      <c r="N36" s="150" t="str">
        <f>IFERROR(SMALL(Kassenbuch!AA$20:AA$68,'Buchungsblatt Ertrag'!M36),"")</f>
        <v/>
      </c>
      <c r="O36" s="147">
        <f t="shared" si="3"/>
        <v>1</v>
      </c>
      <c r="P36" s="147" t="str">
        <f t="shared" si="4"/>
        <v/>
      </c>
      <c r="Q36" s="68" t="str">
        <f t="shared" si="5"/>
        <v/>
      </c>
      <c r="R36" s="151" t="str">
        <f t="shared" si="6"/>
        <v/>
      </c>
      <c r="S36" s="147" t="str">
        <f>IF(R36="","",VLOOKUP(LEFT(R36,3)*1,SaKo!D:E,2,FALSE))</f>
        <v/>
      </c>
      <c r="T36" s="147" t="str">
        <f t="shared" si="7"/>
        <v/>
      </c>
    </row>
    <row r="37" spans="1:26" ht="15" hidden="1" x14ac:dyDescent="0.2">
      <c r="A37" s="2">
        <f>IF(A28="",0,1)</f>
        <v>0</v>
      </c>
      <c r="B37" s="2" t="s">
        <v>205</v>
      </c>
      <c r="M37" s="147">
        <v>22</v>
      </c>
      <c r="N37" s="150" t="str">
        <f>IFERROR(SMALL(Kassenbuch!AA$20:AA$68,'Buchungsblatt Ertrag'!M37),"")</f>
        <v/>
      </c>
      <c r="O37" s="147">
        <f t="shared" si="3"/>
        <v>1</v>
      </c>
      <c r="P37" s="147" t="str">
        <f t="shared" si="4"/>
        <v/>
      </c>
      <c r="Q37" s="68" t="str">
        <f t="shared" si="5"/>
        <v/>
      </c>
      <c r="R37" s="151" t="str">
        <f t="shared" si="6"/>
        <v/>
      </c>
      <c r="S37" s="147" t="str">
        <f>IF(R37="","",VLOOKUP(LEFT(R37,3)*1,SaKo!D:E,2,FALSE))</f>
        <v/>
      </c>
      <c r="T37" s="147" t="str">
        <f t="shared" si="7"/>
        <v/>
      </c>
    </row>
    <row r="38" spans="1:26" ht="15" hidden="1" x14ac:dyDescent="0.2">
      <c r="A38" s="2">
        <f>IF(A31="",0,1)</f>
        <v>0</v>
      </c>
      <c r="B38" s="2" t="s">
        <v>205</v>
      </c>
      <c r="M38" s="147">
        <v>23</v>
      </c>
      <c r="N38" s="150" t="str">
        <f>IFERROR(SMALL(Kassenbuch!AA$20:AA$68,'Buchungsblatt Ertrag'!M38),"")</f>
        <v/>
      </c>
      <c r="O38" s="147">
        <f t="shared" si="3"/>
        <v>1</v>
      </c>
      <c r="P38" s="147" t="str">
        <f t="shared" si="4"/>
        <v/>
      </c>
      <c r="Q38" s="68" t="str">
        <f t="shared" si="5"/>
        <v/>
      </c>
      <c r="R38" s="151" t="str">
        <f t="shared" si="6"/>
        <v/>
      </c>
      <c r="S38" s="147" t="str">
        <f>IF(R38="","",VLOOKUP(LEFT(R38,3)*1,SaKo!D:E,2,FALSE))</f>
        <v/>
      </c>
      <c r="T38" s="147" t="str">
        <f t="shared" si="7"/>
        <v/>
      </c>
    </row>
    <row r="39" spans="1:26" ht="15" x14ac:dyDescent="0.2">
      <c r="M39" s="147">
        <v>24</v>
      </c>
      <c r="N39" s="150" t="str">
        <f>IFERROR(SMALL(Kassenbuch!AA$20:AA$68,'Buchungsblatt Ertrag'!M39),"")</f>
        <v/>
      </c>
      <c r="O39" s="147">
        <f t="shared" si="3"/>
        <v>1</v>
      </c>
      <c r="P39" s="147" t="str">
        <f t="shared" si="4"/>
        <v/>
      </c>
      <c r="Q39" s="68" t="str">
        <f t="shared" si="5"/>
        <v/>
      </c>
      <c r="R39" s="151" t="str">
        <f t="shared" si="6"/>
        <v/>
      </c>
      <c r="S39" s="147" t="str">
        <f>IF(R39="","",VLOOKUP(LEFT(R39,3)*1,SaKo!D:E,2,FALSE))</f>
        <v/>
      </c>
      <c r="T39" s="147" t="str">
        <f t="shared" si="7"/>
        <v/>
      </c>
    </row>
    <row r="40" spans="1:26" ht="15" x14ac:dyDescent="0.2">
      <c r="M40" s="147">
        <v>25</v>
      </c>
      <c r="N40" s="150" t="str">
        <f>IFERROR(SMALL(Kassenbuch!AA$20:AA$68,'Buchungsblatt Ertrag'!M40),"")</f>
        <v/>
      </c>
      <c r="O40" s="147">
        <f t="shared" si="3"/>
        <v>1</v>
      </c>
      <c r="P40" s="147" t="str">
        <f t="shared" si="4"/>
        <v/>
      </c>
      <c r="Q40" s="68" t="str">
        <f t="shared" si="5"/>
        <v/>
      </c>
      <c r="R40" s="151" t="str">
        <f t="shared" si="6"/>
        <v/>
      </c>
      <c r="S40" s="147" t="str">
        <f>IF(R40="","",VLOOKUP(LEFT(R40,3)*1,SaKo!D:E,2,FALSE))</f>
        <v/>
      </c>
      <c r="T40" s="147" t="str">
        <f t="shared" si="7"/>
        <v/>
      </c>
    </row>
    <row r="41" spans="1:26" ht="15" x14ac:dyDescent="0.2">
      <c r="M41" s="147">
        <v>26</v>
      </c>
      <c r="N41" s="150" t="str">
        <f>IFERROR(SMALL(Kassenbuch!AA$20:AA$68,'Buchungsblatt Ertrag'!M41),"")</f>
        <v/>
      </c>
      <c r="O41" s="147">
        <f t="shared" si="3"/>
        <v>1</v>
      </c>
      <c r="P41" s="147" t="str">
        <f t="shared" si="4"/>
        <v/>
      </c>
      <c r="Q41" s="68" t="str">
        <f t="shared" si="5"/>
        <v/>
      </c>
      <c r="R41" s="151" t="str">
        <f t="shared" si="6"/>
        <v/>
      </c>
      <c r="S41" s="147" t="str">
        <f>IF(R41="","",VLOOKUP(LEFT(R41,3)*1,SaKo!D:E,2,FALSE))</f>
        <v/>
      </c>
      <c r="T41" s="147" t="str">
        <f t="shared" si="7"/>
        <v/>
      </c>
    </row>
    <row r="42" spans="1:26" ht="15" x14ac:dyDescent="0.2">
      <c r="M42" s="147">
        <v>27</v>
      </c>
      <c r="N42" s="150" t="str">
        <f>IFERROR(SMALL(Kassenbuch!AA$20:AA$68,'Buchungsblatt Ertrag'!M42),"")</f>
        <v/>
      </c>
      <c r="O42" s="147">
        <f t="shared" si="3"/>
        <v>1</v>
      </c>
      <c r="P42" s="147" t="str">
        <f t="shared" si="4"/>
        <v/>
      </c>
      <c r="Q42" s="68" t="str">
        <f t="shared" si="5"/>
        <v/>
      </c>
      <c r="R42" s="151" t="str">
        <f t="shared" si="6"/>
        <v/>
      </c>
      <c r="S42" s="147" t="str">
        <f>IF(R42="","",VLOOKUP(LEFT(R42,3)*1,SaKo!D:E,2,FALSE))</f>
        <v/>
      </c>
      <c r="T42" s="147" t="str">
        <f t="shared" si="7"/>
        <v/>
      </c>
    </row>
    <row r="43" spans="1:26" ht="15" x14ac:dyDescent="0.2">
      <c r="M43" s="147">
        <v>28</v>
      </c>
      <c r="N43" s="150" t="str">
        <f>IFERROR(SMALL(Kassenbuch!AA$20:AA$68,'Buchungsblatt Ertrag'!M43),"")</f>
        <v/>
      </c>
      <c r="O43" s="147">
        <f t="shared" si="3"/>
        <v>1</v>
      </c>
      <c r="P43" s="147" t="str">
        <f t="shared" si="4"/>
        <v/>
      </c>
      <c r="Q43" s="68" t="str">
        <f t="shared" si="5"/>
        <v/>
      </c>
      <c r="R43" s="151" t="str">
        <f t="shared" si="6"/>
        <v/>
      </c>
      <c r="S43" s="147" t="str">
        <f>IF(R43="","",VLOOKUP(LEFT(R43,3)*1,SaKo!D:E,2,FALSE))</f>
        <v/>
      </c>
      <c r="T43" s="147" t="str">
        <f t="shared" si="7"/>
        <v/>
      </c>
    </row>
    <row r="44" spans="1:26" ht="15" x14ac:dyDescent="0.2">
      <c r="M44" s="147">
        <v>29</v>
      </c>
      <c r="N44" s="150" t="str">
        <f>IFERROR(SMALL(Kassenbuch!AA$20:AA$68,'Buchungsblatt Ertrag'!M44),"")</f>
        <v/>
      </c>
      <c r="O44" s="147">
        <f t="shared" si="3"/>
        <v>1</v>
      </c>
      <c r="P44" s="147" t="str">
        <f t="shared" si="4"/>
        <v/>
      </c>
      <c r="Q44" s="68" t="str">
        <f t="shared" si="5"/>
        <v/>
      </c>
      <c r="R44" s="151" t="str">
        <f t="shared" si="6"/>
        <v/>
      </c>
      <c r="S44" s="147" t="str">
        <f>IF(R44="","",VLOOKUP(LEFT(R44,3)*1,SaKo!D:E,2,FALSE))</f>
        <v/>
      </c>
      <c r="T44" s="147" t="str">
        <f t="shared" si="7"/>
        <v/>
      </c>
    </row>
    <row r="45" spans="1:26" ht="15" x14ac:dyDescent="0.2">
      <c r="M45" s="147">
        <v>30</v>
      </c>
      <c r="N45" s="150" t="str">
        <f>IFERROR(SMALL(Kassenbuch!AA$20:AA$68,'Buchungsblatt Ertrag'!M45),"")</f>
        <v/>
      </c>
      <c r="O45" s="147">
        <f t="shared" si="3"/>
        <v>1</v>
      </c>
      <c r="P45" s="147" t="str">
        <f t="shared" si="4"/>
        <v/>
      </c>
      <c r="Q45" s="68" t="str">
        <f t="shared" si="5"/>
        <v/>
      </c>
      <c r="R45" s="151" t="str">
        <f t="shared" si="6"/>
        <v/>
      </c>
      <c r="S45" s="147" t="str">
        <f>IF(R45="","",VLOOKUP(LEFT(R45,3)*1,SaKo!D:E,2,FALSE))</f>
        <v/>
      </c>
      <c r="T45" s="147" t="str">
        <f t="shared" si="7"/>
        <v/>
      </c>
    </row>
    <row r="46" spans="1:26" ht="15" x14ac:dyDescent="0.2">
      <c r="M46" s="147">
        <v>31</v>
      </c>
      <c r="N46" s="150" t="str">
        <f>IFERROR(SMALL(Kassenbuch!AA$20:AA$68,'Buchungsblatt Ertrag'!M46),"")</f>
        <v/>
      </c>
      <c r="O46" s="147">
        <f t="shared" si="3"/>
        <v>1</v>
      </c>
      <c r="P46" s="147" t="str">
        <f t="shared" si="4"/>
        <v/>
      </c>
      <c r="Q46" s="68" t="str">
        <f t="shared" si="5"/>
        <v/>
      </c>
      <c r="R46" s="151" t="str">
        <f t="shared" si="6"/>
        <v/>
      </c>
      <c r="S46" s="147" t="str">
        <f>IF(R46="","",VLOOKUP(LEFT(R46,3)*1,SaKo!D:E,2,FALSE))</f>
        <v/>
      </c>
      <c r="T46" s="147" t="str">
        <f t="shared" si="7"/>
        <v/>
      </c>
    </row>
    <row r="47" spans="1:26" ht="15" x14ac:dyDescent="0.2">
      <c r="M47" s="147">
        <v>32</v>
      </c>
      <c r="N47" s="150" t="str">
        <f>IFERROR(SMALL(Kassenbuch!AA$20:AA$68,'Buchungsblatt Ertrag'!M47),"")</f>
        <v/>
      </c>
      <c r="O47" s="147">
        <f t="shared" si="3"/>
        <v>1</v>
      </c>
      <c r="P47" s="147" t="str">
        <f t="shared" si="4"/>
        <v/>
      </c>
      <c r="Q47" s="68" t="str">
        <f t="shared" si="5"/>
        <v/>
      </c>
      <c r="R47" s="151" t="str">
        <f t="shared" si="6"/>
        <v/>
      </c>
      <c r="S47" s="147" t="str">
        <f>IF(R47="","",VLOOKUP(LEFT(R47,3)*1,SaKo!D:E,2,FALSE))</f>
        <v/>
      </c>
      <c r="T47" s="147" t="str">
        <f t="shared" si="7"/>
        <v/>
      </c>
    </row>
    <row r="48" spans="1:26" ht="15" x14ac:dyDescent="0.2">
      <c r="M48" s="147">
        <v>33</v>
      </c>
      <c r="N48" s="150" t="str">
        <f>IFERROR(SMALL(Kassenbuch!AA$20:AA$68,'Buchungsblatt Ertrag'!M48),"")</f>
        <v/>
      </c>
      <c r="O48" s="147">
        <f t="shared" si="3"/>
        <v>1</v>
      </c>
      <c r="P48" s="147" t="str">
        <f t="shared" si="4"/>
        <v/>
      </c>
      <c r="Q48" s="68" t="str">
        <f t="shared" si="5"/>
        <v/>
      </c>
      <c r="R48" s="151" t="str">
        <f t="shared" si="6"/>
        <v/>
      </c>
      <c r="S48" s="147" t="str">
        <f>IF(R48="","",VLOOKUP(LEFT(R48,3)*1,SaKo!D:E,2,FALSE))</f>
        <v/>
      </c>
      <c r="T48" s="147" t="str">
        <f t="shared" si="7"/>
        <v/>
      </c>
    </row>
    <row r="49" spans="13:20" ht="15" x14ac:dyDescent="0.2">
      <c r="M49" s="147">
        <v>34</v>
      </c>
      <c r="N49" s="150" t="str">
        <f>IFERROR(SMALL(Kassenbuch!AA$20:AA$68,'Buchungsblatt Ertrag'!M49),"")</f>
        <v/>
      </c>
      <c r="O49" s="147">
        <f t="shared" si="3"/>
        <v>1</v>
      </c>
      <c r="P49" s="147" t="str">
        <f t="shared" si="4"/>
        <v/>
      </c>
      <c r="Q49" s="68" t="str">
        <f t="shared" si="5"/>
        <v/>
      </c>
      <c r="R49" s="151" t="str">
        <f t="shared" si="6"/>
        <v/>
      </c>
      <c r="S49" s="147" t="str">
        <f>IF(R49="","",VLOOKUP(LEFT(R49,3)*1,SaKo!D:E,2,FALSE))</f>
        <v/>
      </c>
      <c r="T49" s="147" t="str">
        <f t="shared" si="7"/>
        <v/>
      </c>
    </row>
    <row r="50" spans="13:20" ht="15" x14ac:dyDescent="0.2">
      <c r="M50" s="147">
        <v>35</v>
      </c>
      <c r="N50" s="150" t="str">
        <f>IFERROR(SMALL(Kassenbuch!AA$20:AA$68,'Buchungsblatt Ertrag'!M50),"")</f>
        <v/>
      </c>
      <c r="O50" s="147">
        <f t="shared" si="3"/>
        <v>1</v>
      </c>
      <c r="P50" s="147" t="str">
        <f t="shared" si="4"/>
        <v/>
      </c>
      <c r="Q50" s="68" t="str">
        <f t="shared" si="5"/>
        <v/>
      </c>
      <c r="R50" s="151" t="str">
        <f t="shared" si="6"/>
        <v/>
      </c>
      <c r="S50" s="147" t="str">
        <f>IF(R50="","",VLOOKUP(LEFT(R50,3)*1,SaKo!D:E,2,FALSE))</f>
        <v/>
      </c>
      <c r="T50" s="147" t="str">
        <f t="shared" si="7"/>
        <v/>
      </c>
    </row>
    <row r="51" spans="13:20" ht="15" x14ac:dyDescent="0.2">
      <c r="M51" s="147">
        <v>36</v>
      </c>
      <c r="N51" s="150" t="str">
        <f>IFERROR(SMALL(Kassenbuch!AA$20:AA$68,'Buchungsblatt Ertrag'!M51),"")</f>
        <v/>
      </c>
      <c r="O51" s="147">
        <f t="shared" si="3"/>
        <v>1</v>
      </c>
      <c r="P51" s="147" t="str">
        <f t="shared" si="4"/>
        <v/>
      </c>
      <c r="Q51" s="68" t="str">
        <f t="shared" si="5"/>
        <v/>
      </c>
      <c r="R51" s="151" t="str">
        <f t="shared" si="6"/>
        <v/>
      </c>
      <c r="S51" s="147" t="str">
        <f>IF(R51="","",VLOOKUP(LEFT(R51,3)*1,SaKo!D:E,2,FALSE))</f>
        <v/>
      </c>
      <c r="T51" s="147" t="str">
        <f t="shared" si="7"/>
        <v/>
      </c>
    </row>
    <row r="52" spans="13:20" ht="15" x14ac:dyDescent="0.2">
      <c r="M52" s="147">
        <v>37</v>
      </c>
      <c r="N52" s="150" t="str">
        <f>IFERROR(SMALL(Kassenbuch!AA$20:AA$68,'Buchungsblatt Ertrag'!M52),"")</f>
        <v/>
      </c>
      <c r="O52" s="147">
        <f t="shared" si="3"/>
        <v>1</v>
      </c>
      <c r="P52" s="147" t="str">
        <f t="shared" si="4"/>
        <v/>
      </c>
      <c r="Q52" s="68" t="str">
        <f t="shared" si="5"/>
        <v/>
      </c>
      <c r="R52" s="151" t="str">
        <f t="shared" si="6"/>
        <v/>
      </c>
      <c r="S52" s="147" t="str">
        <f>IF(R52="","",VLOOKUP(LEFT(R52,3)*1,SaKo!D:E,2,FALSE))</f>
        <v/>
      </c>
      <c r="T52" s="147" t="str">
        <f t="shared" si="7"/>
        <v/>
      </c>
    </row>
    <row r="53" spans="13:20" ht="15" x14ac:dyDescent="0.2">
      <c r="M53" s="147">
        <v>38</v>
      </c>
      <c r="N53" s="150" t="str">
        <f>IFERROR(SMALL(Kassenbuch!AA$20:AA$68,'Buchungsblatt Ertrag'!M53),"")</f>
        <v/>
      </c>
      <c r="O53" s="147">
        <f t="shared" si="3"/>
        <v>1</v>
      </c>
      <c r="P53" s="147" t="str">
        <f t="shared" si="4"/>
        <v/>
      </c>
      <c r="Q53" s="68" t="str">
        <f t="shared" si="5"/>
        <v/>
      </c>
      <c r="R53" s="151" t="str">
        <f t="shared" si="6"/>
        <v/>
      </c>
      <c r="S53" s="147" t="str">
        <f>IF(R53="","",VLOOKUP(LEFT(R53,3)*1,SaKo!D:E,2,FALSE))</f>
        <v/>
      </c>
      <c r="T53" s="147" t="str">
        <f t="shared" si="7"/>
        <v/>
      </c>
    </row>
    <row r="54" spans="13:20" ht="15" x14ac:dyDescent="0.2">
      <c r="M54" s="147">
        <v>39</v>
      </c>
      <c r="N54" s="150" t="str">
        <f>IFERROR(SMALL(Kassenbuch!AA$20:AA$68,'Buchungsblatt Ertrag'!M54),"")</f>
        <v/>
      </c>
      <c r="O54" s="147">
        <f t="shared" si="3"/>
        <v>1</v>
      </c>
      <c r="P54" s="147" t="str">
        <f t="shared" si="4"/>
        <v/>
      </c>
      <c r="Q54" s="68" t="str">
        <f t="shared" si="5"/>
        <v/>
      </c>
      <c r="R54" s="151" t="str">
        <f t="shared" si="6"/>
        <v/>
      </c>
      <c r="S54" s="147" t="str">
        <f>IF(R54="","",VLOOKUP(LEFT(R54,3)*1,SaKo!D:E,2,FALSE))</f>
        <v/>
      </c>
      <c r="T54" s="147" t="str">
        <f t="shared" si="7"/>
        <v/>
      </c>
    </row>
    <row r="55" spans="13:20" ht="15" x14ac:dyDescent="0.2">
      <c r="M55" s="147">
        <v>40</v>
      </c>
      <c r="N55" s="150" t="str">
        <f>IFERROR(SMALL(Kassenbuch!AA$20:AA$68,'Buchungsblatt Ertrag'!M55),"")</f>
        <v/>
      </c>
      <c r="O55" s="147">
        <f t="shared" si="3"/>
        <v>1</v>
      </c>
      <c r="P55" s="147" t="str">
        <f t="shared" si="4"/>
        <v/>
      </c>
      <c r="Q55" s="68" t="str">
        <f t="shared" si="5"/>
        <v/>
      </c>
      <c r="R55" s="151" t="str">
        <f t="shared" si="6"/>
        <v/>
      </c>
      <c r="S55" s="147" t="str">
        <f>IF(R55="","",VLOOKUP(LEFT(R55,3)*1,SaKo!D:E,2,FALSE))</f>
        <v/>
      </c>
      <c r="T55" s="147" t="str">
        <f t="shared" si="7"/>
        <v/>
      </c>
    </row>
    <row r="56" spans="13:20" ht="15" x14ac:dyDescent="0.2">
      <c r="M56" s="147">
        <v>41</v>
      </c>
      <c r="N56" s="150" t="str">
        <f>IFERROR(SMALL(Kassenbuch!AA$20:AA$68,'Buchungsblatt Ertrag'!M56),"")</f>
        <v/>
      </c>
      <c r="O56" s="147">
        <f t="shared" si="3"/>
        <v>1</v>
      </c>
      <c r="P56" s="147" t="str">
        <f t="shared" si="4"/>
        <v/>
      </c>
      <c r="Q56" s="68" t="str">
        <f t="shared" si="5"/>
        <v/>
      </c>
      <c r="R56" s="151" t="str">
        <f t="shared" si="6"/>
        <v/>
      </c>
      <c r="S56" s="147" t="str">
        <f>IF(R56="","",VLOOKUP(LEFT(R56,3)*1,SaKo!D:E,2,FALSE))</f>
        <v/>
      </c>
      <c r="T56" s="147" t="str">
        <f t="shared" si="7"/>
        <v/>
      </c>
    </row>
    <row r="57" spans="13:20" ht="15" x14ac:dyDescent="0.2">
      <c r="M57" s="147">
        <v>42</v>
      </c>
      <c r="N57" s="150" t="str">
        <f>IFERROR(SMALL(Kassenbuch!AA$20:AA$68,'Buchungsblatt Ertrag'!M57),"")</f>
        <v/>
      </c>
      <c r="O57" s="147">
        <f t="shared" si="3"/>
        <v>1</v>
      </c>
      <c r="P57" s="147" t="str">
        <f t="shared" si="4"/>
        <v/>
      </c>
      <c r="Q57" s="68" t="str">
        <f t="shared" si="5"/>
        <v/>
      </c>
      <c r="R57" s="151" t="str">
        <f t="shared" si="6"/>
        <v/>
      </c>
      <c r="S57" s="147" t="str">
        <f>IF(R57="","",VLOOKUP(LEFT(R57,3)*1,SaKo!D:E,2,FALSE))</f>
        <v/>
      </c>
      <c r="T57" s="147" t="str">
        <f t="shared" si="7"/>
        <v/>
      </c>
    </row>
    <row r="58" spans="13:20" ht="15" x14ac:dyDescent="0.2">
      <c r="M58" s="147">
        <v>43</v>
      </c>
      <c r="N58" s="150" t="str">
        <f>IFERROR(SMALL(Kassenbuch!AA$20:AA$68,'Buchungsblatt Ertrag'!M58),"")</f>
        <v/>
      </c>
      <c r="O58" s="147">
        <f t="shared" si="3"/>
        <v>1</v>
      </c>
      <c r="P58" s="147" t="str">
        <f t="shared" si="4"/>
        <v/>
      </c>
      <c r="Q58" s="68" t="str">
        <f t="shared" si="5"/>
        <v/>
      </c>
      <c r="R58" s="151" t="str">
        <f t="shared" si="6"/>
        <v/>
      </c>
      <c r="S58" s="147" t="str">
        <f>IF(R58="","",VLOOKUP(LEFT(R58,3)*1,SaKo!D:E,2,FALSE))</f>
        <v/>
      </c>
      <c r="T58" s="147" t="str">
        <f t="shared" si="7"/>
        <v/>
      </c>
    </row>
    <row r="59" spans="13:20" ht="15" x14ac:dyDescent="0.2">
      <c r="M59" s="147">
        <v>44</v>
      </c>
      <c r="N59" s="150" t="str">
        <f>IFERROR(SMALL(Kassenbuch!AA$20:AA$68,'Buchungsblatt Ertrag'!M59),"")</f>
        <v/>
      </c>
      <c r="O59" s="147">
        <f t="shared" si="3"/>
        <v>1</v>
      </c>
      <c r="P59" s="147" t="str">
        <f t="shared" si="4"/>
        <v/>
      </c>
      <c r="Q59" s="68" t="str">
        <f t="shared" si="5"/>
        <v/>
      </c>
      <c r="R59" s="151" t="str">
        <f t="shared" si="6"/>
        <v/>
      </c>
      <c r="S59" s="147" t="str">
        <f>IF(R59="","",VLOOKUP(LEFT(R59,3)*1,SaKo!D:E,2,FALSE))</f>
        <v/>
      </c>
      <c r="T59" s="147" t="str">
        <f t="shared" si="7"/>
        <v/>
      </c>
    </row>
    <row r="60" spans="13:20" ht="15" x14ac:dyDescent="0.2">
      <c r="M60" s="147">
        <v>45</v>
      </c>
      <c r="N60" s="150" t="str">
        <f>IFERROR(SMALL(Kassenbuch!AA$20:AA$68,'Buchungsblatt Ertrag'!M60),"")</f>
        <v/>
      </c>
      <c r="O60" s="147">
        <f t="shared" si="3"/>
        <v>1</v>
      </c>
      <c r="P60" s="147" t="str">
        <f t="shared" si="4"/>
        <v/>
      </c>
      <c r="Q60" s="68" t="str">
        <f t="shared" si="5"/>
        <v/>
      </c>
      <c r="R60" s="151" t="str">
        <f t="shared" si="6"/>
        <v/>
      </c>
      <c r="S60" s="147" t="str">
        <f>IF(R60="","",VLOOKUP(LEFT(R60,3)*1,SaKo!D:E,2,FALSE))</f>
        <v/>
      </c>
      <c r="T60" s="147" t="str">
        <f t="shared" si="7"/>
        <v/>
      </c>
    </row>
    <row r="61" spans="13:20" ht="15" x14ac:dyDescent="0.2">
      <c r="M61" s="147">
        <v>46</v>
      </c>
      <c r="N61" s="150" t="str">
        <f>IFERROR(SMALL(Kassenbuch!AA$20:AA$68,'Buchungsblatt Ertrag'!M61),"")</f>
        <v/>
      </c>
      <c r="O61" s="147">
        <f t="shared" si="3"/>
        <v>1</v>
      </c>
      <c r="P61" s="147" t="str">
        <f t="shared" si="4"/>
        <v/>
      </c>
      <c r="Q61" s="68" t="str">
        <f t="shared" si="5"/>
        <v/>
      </c>
      <c r="R61" s="151" t="str">
        <f t="shared" si="6"/>
        <v/>
      </c>
      <c r="S61" s="147" t="str">
        <f>IF(R61="","",VLOOKUP(LEFT(R61,3)*1,SaKo!D:E,2,FALSE))</f>
        <v/>
      </c>
      <c r="T61" s="147" t="str">
        <f t="shared" si="7"/>
        <v/>
      </c>
    </row>
    <row r="62" spans="13:20" ht="15" x14ac:dyDescent="0.2">
      <c r="M62" s="147">
        <v>47</v>
      </c>
      <c r="N62" s="150" t="str">
        <f>IFERROR(SMALL(Kassenbuch!AA$20:AA$68,'Buchungsblatt Ertrag'!M62),"")</f>
        <v/>
      </c>
      <c r="O62" s="147">
        <f t="shared" si="3"/>
        <v>1</v>
      </c>
      <c r="P62" s="147" t="str">
        <f t="shared" si="4"/>
        <v/>
      </c>
      <c r="Q62" s="68" t="str">
        <f t="shared" si="5"/>
        <v/>
      </c>
      <c r="R62" s="151" t="str">
        <f t="shared" si="6"/>
        <v/>
      </c>
      <c r="S62" s="147" t="str">
        <f>IF(R62="","",VLOOKUP(LEFT(R62,3)*1,SaKo!D:E,2,FALSE))</f>
        <v/>
      </c>
      <c r="T62" s="147" t="str">
        <f t="shared" si="7"/>
        <v/>
      </c>
    </row>
    <row r="63" spans="13:20" ht="15" x14ac:dyDescent="0.2">
      <c r="M63" s="147">
        <v>48</v>
      </c>
      <c r="N63" s="150" t="str">
        <f>IFERROR(SMALL(Kassenbuch!AA$20:AA$68,'Buchungsblatt Ertrag'!M63),"")</f>
        <v/>
      </c>
      <c r="O63" s="147">
        <f t="shared" si="3"/>
        <v>1</v>
      </c>
      <c r="P63" s="147" t="str">
        <f t="shared" si="4"/>
        <v/>
      </c>
      <c r="Q63" s="68" t="str">
        <f t="shared" si="5"/>
        <v/>
      </c>
      <c r="R63" s="151" t="str">
        <f t="shared" si="6"/>
        <v/>
      </c>
      <c r="S63" s="147" t="str">
        <f>IF(R63="","",VLOOKUP(LEFT(R63,3)*1,SaKo!D:E,2,FALSE))</f>
        <v/>
      </c>
      <c r="T63" s="147" t="str">
        <f t="shared" si="7"/>
        <v/>
      </c>
    </row>
    <row r="64" spans="13:20" ht="15" x14ac:dyDescent="0.2">
      <c r="M64" s="147">
        <v>49</v>
      </c>
      <c r="N64" s="150" t="str">
        <f>IFERROR(SMALL(Kassenbuch!AA$20:AA$68,'Buchungsblatt Ertrag'!M64),"")</f>
        <v/>
      </c>
      <c r="O64" s="147">
        <f t="shared" si="3"/>
        <v>1</v>
      </c>
      <c r="P64" s="147" t="str">
        <f t="shared" si="4"/>
        <v/>
      </c>
      <c r="Q64" s="68" t="str">
        <f t="shared" si="5"/>
        <v/>
      </c>
      <c r="R64" s="151" t="str">
        <f t="shared" si="6"/>
        <v/>
      </c>
      <c r="S64" s="147" t="str">
        <f>IF(R64="","",VLOOKUP(LEFT(R64,3)*1,SaKo!D:E,2,FALSE))</f>
        <v/>
      </c>
      <c r="T64" s="147" t="str">
        <f t="shared" si="7"/>
        <v/>
      </c>
    </row>
    <row r="65" spans="19:19" ht="15" x14ac:dyDescent="0.2">
      <c r="S65" s="147" t="str">
        <f>IF(R65="","",VLOOKUP(LEFT(R65,3)*1,SaKo!D:E,2,FALSE))</f>
        <v/>
      </c>
    </row>
  </sheetData>
  <sheetProtection algorithmName="SHA-512" hashValue="Y8z1slzt4yAEw31bToViRbGEwwXZj+qUL03awR7lhgzQJYJCOGEEpzb+z6moyJFmjZHt5A0mFiLBIvurWEpd7w==" saltValue="QcYi3rXvbJVXB0v0bvCGxw==" spinCount="100000" sheet="1" selectLockedCells="1"/>
  <mergeCells count="68">
    <mergeCell ref="B34:E34"/>
    <mergeCell ref="F34:K34"/>
    <mergeCell ref="B30:C30"/>
    <mergeCell ref="E30:F30"/>
    <mergeCell ref="I30:K30"/>
    <mergeCell ref="B31:C31"/>
    <mergeCell ref="E31:F31"/>
    <mergeCell ref="I31:K31"/>
    <mergeCell ref="B32:C32"/>
    <mergeCell ref="E32:F32"/>
    <mergeCell ref="I32:K32"/>
    <mergeCell ref="B33:C33"/>
    <mergeCell ref="E33:K33"/>
    <mergeCell ref="B28:C28"/>
    <mergeCell ref="E28:F28"/>
    <mergeCell ref="I28:K28"/>
    <mergeCell ref="B29:C29"/>
    <mergeCell ref="E29:F29"/>
    <mergeCell ref="I29:K29"/>
    <mergeCell ref="B26:C26"/>
    <mergeCell ref="E26:F26"/>
    <mergeCell ref="I26:K26"/>
    <mergeCell ref="B27:C27"/>
    <mergeCell ref="E27:F27"/>
    <mergeCell ref="I27:K27"/>
    <mergeCell ref="B24:C24"/>
    <mergeCell ref="E24:F24"/>
    <mergeCell ref="I24:K24"/>
    <mergeCell ref="B25:C25"/>
    <mergeCell ref="E25:F25"/>
    <mergeCell ref="I25:K25"/>
    <mergeCell ref="B22:C22"/>
    <mergeCell ref="E22:F22"/>
    <mergeCell ref="I22:K22"/>
    <mergeCell ref="B23:C23"/>
    <mergeCell ref="E23:F23"/>
    <mergeCell ref="I23:K23"/>
    <mergeCell ref="B20:C20"/>
    <mergeCell ref="E20:F20"/>
    <mergeCell ref="I20:K20"/>
    <mergeCell ref="B21:C21"/>
    <mergeCell ref="E21:F21"/>
    <mergeCell ref="I21:K21"/>
    <mergeCell ref="B18:C18"/>
    <mergeCell ref="E18:F18"/>
    <mergeCell ref="I18:K18"/>
    <mergeCell ref="B19:C19"/>
    <mergeCell ref="E19:F19"/>
    <mergeCell ref="I19:K19"/>
    <mergeCell ref="B16:C16"/>
    <mergeCell ref="E16:F16"/>
    <mergeCell ref="I16:K16"/>
    <mergeCell ref="B17:C17"/>
    <mergeCell ref="E17:F17"/>
    <mergeCell ref="I17:K17"/>
    <mergeCell ref="B10:J10"/>
    <mergeCell ref="D11:E11"/>
    <mergeCell ref="H11:I11"/>
    <mergeCell ref="M14:N14"/>
    <mergeCell ref="B15:C15"/>
    <mergeCell ref="E15:F15"/>
    <mergeCell ref="I15:K15"/>
    <mergeCell ref="B2:E4"/>
    <mergeCell ref="J2:K4"/>
    <mergeCell ref="B5:K5"/>
    <mergeCell ref="B8:J8"/>
    <mergeCell ref="B9:C9"/>
    <mergeCell ref="E9:K9"/>
  </mergeCells>
  <pageMargins left="0.59055118110236227" right="0.27559055118110237" top="0.35433070866141736" bottom="0.39370078740157483" header="0.19685039370078741" footer="0.15748031496062992"/>
  <pageSetup paperSize="9" scale="91" orientation="portrait" blackAndWhite="1" r:id="rId1"/>
  <headerFooter>
    <oddFooter>&amp;L&amp;"Calibri,Standard"&amp;8&amp;K01+041Stand: &amp;D&amp;R&amp;"Calibri,Standard"&amp;8&amp;K01+041Version 3.9-PNCA - Januar 2026</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17</vt:i4>
      </vt:variant>
    </vt:vector>
  </HeadingPairs>
  <TitlesOfParts>
    <vt:vector size="24" baseType="lpstr">
      <vt:lpstr>Dokumentation</vt:lpstr>
      <vt:lpstr>RT</vt:lpstr>
      <vt:lpstr>SaKo</vt:lpstr>
      <vt:lpstr>Kassenbuch</vt:lpstr>
      <vt:lpstr>Barbestand</vt:lpstr>
      <vt:lpstr>Buchungsblatt Aufwand</vt:lpstr>
      <vt:lpstr>Buchungsblatt Ertrag</vt:lpstr>
      <vt:lpstr>Aufwand</vt:lpstr>
      <vt:lpstr>'Buchungsblatt Aufwand'!Druckbereich</vt:lpstr>
      <vt:lpstr>'Buchungsblatt Ertrag'!Druckbereich</vt:lpstr>
      <vt:lpstr>Dokumentation!Druckbereich</vt:lpstr>
      <vt:lpstr>Kassenbuch!Druckbereich</vt:lpstr>
      <vt:lpstr>Dokumentation!Drucktitel</vt:lpstr>
      <vt:lpstr>Kassenbuch!Drucktitel</vt:lpstr>
      <vt:lpstr>Ertrag</vt:lpstr>
      <vt:lpstr>Gruppen</vt:lpstr>
      <vt:lpstr>Matrix</vt:lpstr>
      <vt:lpstr>Matrix1</vt:lpstr>
      <vt:lpstr>SaKoAufwand</vt:lpstr>
      <vt:lpstr>SaKoAufwandBuchungsblatt</vt:lpstr>
      <vt:lpstr>SaKoBereichAufwand</vt:lpstr>
      <vt:lpstr>SaKoBereichErtrag</vt:lpstr>
      <vt:lpstr>SaKoErtrag</vt:lpstr>
      <vt:lpstr>SaKoErtragBuchungsblatt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Heidi Stafast</dc:creator>
  <cp:lastModifiedBy>silvia</cp:lastModifiedBy>
  <cp:lastPrinted>2026-01-20T13:10:50Z</cp:lastPrinted>
  <dcterms:created xsi:type="dcterms:W3CDTF">2014-07-15T14:55:50Z</dcterms:created>
  <dcterms:modified xsi:type="dcterms:W3CDTF">2026-01-20T13:19:30Z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96 96 1680 1050</vt:lpwstr>
  </property>
</Properties>
</file>